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drawings/drawing51.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drawings/drawing83.xml" ContentType="application/vnd.openxmlformats-officedocument.drawing+xml"/>
  <Override PartName="/xl/drawings/drawing82.xml" ContentType="application/vnd.openxmlformats-officedocument.drawing+xml"/>
  <Override PartName="/xl/drawings/drawing81.xml" ContentType="application/vnd.openxmlformats-officedocument.drawing+xml"/>
  <Override PartName="/xl/drawings/drawing80.xml" ContentType="application/vnd.openxmlformats-officedocument.drawing+xml"/>
  <Override PartName="/xl/drawings/drawing79.xml" ContentType="application/vnd.openxmlformats-officedocument.drawing+xml"/>
  <Override PartName="/xl/drawings/drawing78.xml" ContentType="application/vnd.openxmlformats-officedocument.drawing+xml"/>
  <Override PartName="/xl/drawings/drawing77.xml" ContentType="application/vnd.openxmlformats-officedocument.drawing+xml"/>
  <Override PartName="/xl/drawings/drawing76.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13.xml" ContentType="application/vnd.openxmlformats-officedocument.drawingml.chart+xml"/>
  <Override PartName="/xl/drawings/drawing91.xml" ContentType="application/vnd.openxmlformats-officedocument.drawing+xml"/>
  <Override PartName="/xl/charts/chart14.xml" ContentType="application/vnd.openxmlformats-officedocument.drawingml.chart+xml"/>
  <Override PartName="/xl/drawings/drawing90.xml" ContentType="application/vnd.openxmlformats-officedocument.drawing+xml"/>
  <Override PartName="/xl/drawings/drawing89.xml" ContentType="application/vnd.openxmlformats-officedocument.drawing+xml"/>
  <Override PartName="/xl/worksheets/sheet1.xml" ContentType="application/vnd.openxmlformats-officedocument.spreadsheetml.worksheet+xml"/>
  <Override PartName="/xl/drawings/drawing87.xml" ContentType="application/vnd.openxmlformats-officedocument.drawing+xml"/>
  <Override PartName="/xl/drawings/drawing86.xml" ContentType="application/vnd.openxmlformats-officedocument.drawing+xml"/>
  <Override PartName="/xl/drawings/drawing75.xml" ContentType="application/vnd.openxmlformats-officedocument.drawing+xml"/>
  <Override PartName="/xl/drawings/drawing74.xml" ContentType="application/vnd.openxmlformats-officedocument.drawing+xml"/>
  <Override PartName="/xl/drawings/drawing73.xml" ContentType="application/vnd.openxmlformats-officedocument.drawing+xml"/>
  <Override PartName="/xl/drawings/drawing62.xml" ContentType="application/vnd.openxmlformats-officedocument.drawing+xml"/>
  <Override PartName="/xl/drawings/drawing61.xml" ContentType="application/vnd.openxmlformats-officedocument.drawing+xml"/>
  <Override PartName="/xl/drawings/drawing60.xml" ContentType="application/vnd.openxmlformats-officedocument.drawing+xml"/>
  <Override PartName="/xl/drawings/drawing59.xml" ContentType="application/vnd.openxmlformats-officedocument.drawing+xml"/>
  <Override PartName="/xl/charts/chart12.xml" ContentType="application/vnd.openxmlformats-officedocument.drawingml.chart+xml"/>
  <Override PartName="/xl/drawings/drawing58.xml" ContentType="application/vnd.openxmlformats-officedocument.drawing+xml"/>
  <Override PartName="/xl/charts/chart11.xml" ContentType="application/vnd.openxmlformats-officedocument.drawingml.chart+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72.xml" ContentType="application/vnd.openxmlformats-officedocument.drawing+xml"/>
  <Override PartName="/xl/drawings/drawing71.xml" ContentType="application/vnd.openxmlformats-officedocument.drawing+xml"/>
  <Override PartName="/xl/drawings/drawing70.xml" ContentType="application/vnd.openxmlformats-officedocument.drawing+xml"/>
  <Override PartName="/xl/drawings/drawing69.xml" ContentType="application/vnd.openxmlformats-officedocument.drawing+xml"/>
  <Override PartName="/xl/drawings/drawing68.xml" ContentType="application/vnd.openxmlformats-officedocument.drawing+xml"/>
  <Override PartName="/xl/drawings/drawing67.xml" ContentType="application/vnd.openxmlformats-officedocument.drawing+xml"/>
  <Override PartName="/xl/drawings/drawing66.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114.xml" ContentType="application/vnd.openxmlformats-officedocument.drawing+xml"/>
  <Override PartName="/xl/drawings/drawing113.xml" ContentType="application/vnd.openxmlformats-officedocument.drawing+xml"/>
  <Override PartName="/xl/drawings/drawing112.xml" ContentType="application/vnd.openxmlformats-officedocument.drawing+xml"/>
  <Override PartName="/xl/drawings/drawing111.xml" ContentType="application/vnd.openxmlformats-officedocument.drawing+xml"/>
  <Override PartName="/xl/drawings/drawing110.xml" ContentType="application/vnd.openxmlformats-officedocument.drawing+xml"/>
  <Override PartName="/xl/charts/chart21.xml" ContentType="application/vnd.openxmlformats-officedocument.drawingml.chart+xml"/>
  <Override PartName="/xl/drawings/drawing109.xml" ContentType="application/vnd.openxmlformats-officedocument.drawing+xml"/>
  <Override PartName="/xl/charts/chart22.xml" ContentType="application/vnd.openxmlformats-officedocument.drawingml.chart+xml"/>
  <Override PartName="/xl/drawings/drawing115.xml" ContentType="application/vnd.openxmlformats-officedocument.drawing+xml"/>
  <Override PartName="/xl/drawings/drawing11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20.xml" ContentType="application/vnd.openxmlformats-officedocument.drawing+xml"/>
  <Override PartName="/xl/drawings/drawing119.xml" ContentType="application/vnd.openxmlformats-officedocument.drawing+xml"/>
  <Override PartName="/xl/drawings/drawing118.xml" ContentType="application/vnd.openxmlformats-officedocument.drawing+xml"/>
  <Override PartName="/xl/drawings/drawing117.xml" ContentType="application/vnd.openxmlformats-officedocument.drawing+xml"/>
  <Override PartName="/xl/drawings/drawing108.xml" ContentType="application/vnd.openxmlformats-officedocument.drawing+xml"/>
  <Override PartName="/xl/charts/chart20.xml" ContentType="application/vnd.openxmlformats-officedocument.drawingml.chart+xml"/>
  <Override PartName="/xl/drawings/drawing107.xml" ContentType="application/vnd.openxmlformats-officedocument.drawing+xml"/>
  <Override PartName="/xl/charts/chart16.xml" ContentType="application/vnd.openxmlformats-officedocument.drawingml.chart+xml"/>
  <Override PartName="/xl/drawings/drawing99.xml" ContentType="application/vnd.openxmlformats-officedocument.drawing+xml"/>
  <Override PartName="/xl/drawings/drawing98.xml" ContentType="application/vnd.openxmlformats-officedocument.drawing+xml"/>
  <Override PartName="/xl/charts/chart15.xml" ContentType="application/vnd.openxmlformats-officedocument.drawingml.chart+xml"/>
  <Override PartName="/xl/drawings/drawing97.xml" ContentType="application/vnd.openxmlformats-officedocument.drawing+xml"/>
  <Override PartName="/xl/drawings/drawing96.xml" ContentType="application/vnd.openxmlformats-officedocument.drawing+xml"/>
  <Override PartName="/xl/drawings/drawing95.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harts/chart17.xml" ContentType="application/vnd.openxmlformats-officedocument.drawingml.chart+xml"/>
  <Override PartName="/xl/drawings/drawing106.xml" ContentType="application/vnd.openxmlformats-officedocument.drawing+xml"/>
  <Override PartName="/xl/charts/chart19.xml" ContentType="application/vnd.openxmlformats-officedocument.drawingml.chart+xml"/>
  <Override PartName="/xl/drawings/drawing105.xml" ContentType="application/vnd.openxmlformats-officedocument.drawing+xml"/>
  <Override PartName="/xl/drawings/drawing104.xml" ContentType="application/vnd.openxmlformats-officedocument.drawing+xml"/>
  <Override PartName="/xl/charts/chart18.xml" ContentType="application/vnd.openxmlformats-officedocument.drawingml.chart+xml"/>
  <Override PartName="/xl/drawings/drawing103.xml" ContentType="application/vnd.openxmlformats-officedocument.drawing+xml"/>
  <Override PartName="/xl/drawings/drawing102.xml" ContentType="application/vnd.openxmlformats-officedocument.drawing+xml"/>
  <Override PartName="/xl/drawings/drawing57.xml" ContentType="application/vnd.openxmlformats-officedocument.drawing+xml"/>
  <Override PartName="/xl/drawings/drawing88.xml" ContentType="application/vnd.openxmlformats-officedocument.drawing+xml"/>
  <Override PartName="/xl/worksheets/sheet6.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1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drawings/drawing4.xml" ContentType="application/vnd.openxmlformats-officedocument.drawing+xml"/>
  <Override PartName="/xl/charts/chart1.xml" ContentType="application/vnd.openxmlformats-officedocument.drawingml.chart+xml"/>
  <Override PartName="/xl/drawings/drawing28.xml" ContentType="application/vnd.openxmlformats-officedocument.drawing+xml"/>
  <Override PartName="/xl/drawings/drawing27.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56.xml" ContentType="application/vnd.openxmlformats-officedocument.drawing+xml"/>
  <Override PartName="/xl/drawings/drawing21.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8.xml" ContentType="application/vnd.openxmlformats-officedocument.drawing+xml"/>
  <Override PartName="/xl/charts/chart6.xml" ContentType="application/vnd.openxmlformats-officedocument.drawingml.chart+xml"/>
  <Override PartName="/xl/drawings/drawing37.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drawings/drawing39.xml" ContentType="application/vnd.openxmlformats-officedocument.drawing+xml"/>
  <Override PartName="/xl/drawings/drawing22.xml" ContentType="application/vnd.openxmlformats-officedocument.drawing+xml"/>
  <Override PartName="/xl/drawings/drawing47.xml" ContentType="application/vnd.openxmlformats-officedocument.drawing+xml"/>
  <Override PartName="/xl/charts/chart9.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drawings/drawing50.xml" ContentType="application/vnd.openxmlformats-officedocument.drawing+xml"/>
  <Override PartName="/xl/drawings/drawing42.xml" ContentType="application/vnd.openxmlformats-officedocument.drawing+xml"/>
  <Override PartName="/xl/charts/chart8.xml" ContentType="application/vnd.openxmlformats-officedocument.drawingml.chart+xml"/>
  <Override PartName="/xl/drawings/drawing54.xml" ContentType="application/vnd.openxmlformats-officedocument.drawing+xml"/>
  <Override PartName="/xl/drawings/drawing48.xml" ContentType="application/vnd.openxmlformats-officedocument.drawing+xml"/>
  <Override PartName="/xl/drawings/drawing44.xml" ContentType="application/vnd.openxmlformats-officedocument.drawing+xml"/>
  <Override PartName="/xl/worksheets/sheet4.xml" ContentType="application/vnd.openxmlformats-officedocument.spreadsheetml.worksheet+xml"/>
  <Override PartName="/xl/drawings/drawing41.xml" ContentType="application/vnd.openxmlformats-officedocument.drawing+xml"/>
  <Override PartName="/xl/drawings/drawing46.xml" ContentType="application/vnd.openxmlformats-officedocument.drawing+xml"/>
  <Override PartName="/xl/charts/chart7.xml" ContentType="application/vnd.openxmlformats-officedocument.drawingml.chart+xml"/>
  <Override PartName="/xl/drawings/drawing55.xml" ContentType="application/vnd.openxmlformats-officedocument.drawing+xml"/>
  <Override PartName="/xl/drawings/drawing45.xml" ContentType="application/vnd.openxmlformats-officedocument.drawing+xml"/>
  <Override PartName="/xl/drawings/drawing40.xml" ContentType="application/vnd.openxmlformats-officedocument.drawing+xml"/>
  <Override PartName="/xl/charts/chart10.xml" ContentType="application/vnd.openxmlformats-officedocument.drawingml.chart+xml"/>
  <Override PartName="/xl/drawings/drawing49.xml" ContentType="application/vnd.openxmlformats-officedocument.drawing+xml"/>
  <Override PartName="/xl/drawings/drawing43.xml" ContentType="application/vnd.openxmlformats-officedocument.drawing+xml"/>
  <Override PartName="/xl/tables/table73.xml" ContentType="application/vnd.openxmlformats-officedocument.spreadsheetml.table+xml"/>
  <Override PartName="/xl/queryTables/queryTable51.xml" ContentType="application/vnd.openxmlformats-officedocument.spreadsheetml.queryTable+xml"/>
  <Override PartName="/xl/tables/table54.xml" ContentType="application/vnd.openxmlformats-officedocument.spreadsheetml.table+xml"/>
  <Override PartName="/xl/queryTables/queryTable50.xml" ContentType="application/vnd.openxmlformats-officedocument.spreadsheetml.queryTable+xml"/>
  <Override PartName="/xl/tables/table53.xml" ContentType="application/vnd.openxmlformats-officedocument.spreadsheetml.table+xml"/>
  <Override PartName="/xl/queryTables/queryTable48.xml" ContentType="application/vnd.openxmlformats-officedocument.spreadsheetml.queryTable+xml"/>
  <Override PartName="/xl/tables/table48.xml" ContentType="application/vnd.openxmlformats-officedocument.spreadsheetml.table+xml"/>
  <Override PartName="/xl/tables/table49.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queryTables/queryTable49.xml" ContentType="application/vnd.openxmlformats-officedocument.spreadsheetml.queryTable+xml"/>
  <Override PartName="/xl/queryTables/queryTable32.xml" ContentType="application/vnd.openxmlformats-officedocument.spreadsheetml.queryTable+xml"/>
  <Override PartName="/xl/tables/table59.xml" ContentType="application/vnd.openxmlformats-officedocument.spreadsheetml.table+xml"/>
  <Override PartName="/xl/queryTables/queryTable31.xml" ContentType="application/vnd.openxmlformats-officedocument.spreadsheetml.queryTable+xml"/>
  <Override PartName="/xl/queryTables/queryTable55.xml" ContentType="application/vnd.openxmlformats-officedocument.spreadsheetml.queryTable+xml"/>
  <Override PartName="/xl/tables/table58.xml" ContentType="application/vnd.openxmlformats-officedocument.spreadsheetml.table+xml"/>
  <Override PartName="/xl/queryTables/queryTable56.xml" ContentType="application/vnd.openxmlformats-officedocument.spreadsheetml.queryTable+xml"/>
  <Override PartName="/xl/tables/table61.xml" ContentType="application/vnd.openxmlformats-officedocument.spreadsheetml.table+xml"/>
  <Override PartName="/xl/queryTables/queryTable30.xml" ContentType="application/vnd.openxmlformats-officedocument.spreadsheetml.queryTable+xml"/>
  <Override PartName="/xl/queryTables/queryTable57.xml" ContentType="application/vnd.openxmlformats-officedocument.spreadsheetml.queryTable+xml"/>
  <Override PartName="/xl/tables/table6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queryTables/queryTable52.xml" ContentType="application/vnd.openxmlformats-officedocument.spreadsheetml.queryTable+xml"/>
  <Override PartName="/xl/queryTables/queryTable47.xml" ContentType="application/vnd.openxmlformats-officedocument.spreadsheetml.queryTable+xml"/>
  <Override PartName="/xl/tables/table55.xml" ContentType="application/vnd.openxmlformats-officedocument.spreadsheetml.table+xml"/>
  <Override PartName="/xl/tables/table56.xml" ContentType="application/vnd.openxmlformats-officedocument.spreadsheetml.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tables/table57.xml" ContentType="application/vnd.openxmlformats-officedocument.spreadsheetml.table+xml"/>
  <Override PartName="/xl/tables/table47.xml" ContentType="application/vnd.openxmlformats-officedocument.spreadsheetml.table+xml"/>
  <Override PartName="/xl/tables/table38.xml" ContentType="application/vnd.openxmlformats-officedocument.spreadsheetml.table+xml"/>
  <Override PartName="/xl/queryTables/queryTable37.xml" ContentType="application/vnd.openxmlformats-officedocument.spreadsheetml.queryTable+xml"/>
  <Override PartName="/xl/tables/table37.xml" ContentType="application/vnd.openxmlformats-officedocument.spreadsheetml.table+xml"/>
  <Override PartName="/xl/queryTables/queryTable38.xml" ContentType="application/vnd.openxmlformats-officedocument.spreadsheetml.queryTable+xml"/>
  <Override PartName="/xl/tables/table40.xml" ContentType="application/vnd.openxmlformats-officedocument.spreadsheetml.table+xml"/>
  <Override PartName="/xl/queryTables/queryTable39.xml" ContentType="application/vnd.openxmlformats-officedocument.spreadsheetml.queryTable+xml"/>
  <Override PartName="/xl/tables/table39.xml" ContentType="application/vnd.openxmlformats-officedocument.spreadsheetml.table+xml"/>
  <Override PartName="/xl/queryTables/queryTable36.xml" ContentType="application/vnd.openxmlformats-officedocument.spreadsheetml.queryTable+xml"/>
  <Override PartName="/xl/tables/table36.xml" ContentType="application/vnd.openxmlformats-officedocument.spreadsheetml.table+xml"/>
  <Override PartName="/xl/queryTables/queryTable34.xml" ContentType="application/vnd.openxmlformats-officedocument.spreadsheetml.queryTable+xml"/>
  <Override PartName="/xl/tables/table34.xml" ContentType="application/vnd.openxmlformats-officedocument.spreadsheetml.table+xml"/>
  <Override PartName="/xl/tables/table33.xml" ContentType="application/vnd.openxmlformats-officedocument.spreadsheetml.table+xml"/>
  <Override PartName="/xl/queryTables/queryTable35.xml" ContentType="application/vnd.openxmlformats-officedocument.spreadsheetml.queryTable+xml"/>
  <Override PartName="/xl/tables/table35.xml" ContentType="application/vnd.openxmlformats-officedocument.spreadsheetml.table+xml"/>
  <Override PartName="/xl/queryTables/queryTable33.xml" ContentType="application/vnd.openxmlformats-officedocument.spreadsheetml.queryTable+xml"/>
  <Override PartName="/xl/queryTables/queryTable40.xml" ContentType="application/vnd.openxmlformats-officedocument.spreadsheetml.queryTable+xml"/>
  <Override PartName="/xl/queryTables/queryTable45.xml" ContentType="application/vnd.openxmlformats-officedocument.spreadsheetml.queryTable+xml"/>
  <Override PartName="/xl/tables/table45.xml" ContentType="application/vnd.openxmlformats-officedocument.spreadsheetml.table+xml"/>
  <Override PartName="/xl/queryTables/queryTable44.xml" ContentType="application/vnd.openxmlformats-officedocument.spreadsheetml.queryTable+xml"/>
  <Override PartName="/xl/tables/table44.xml" ContentType="application/vnd.openxmlformats-officedocument.spreadsheetml.table+xml"/>
  <Override PartName="/xl/queryTables/queryTable46.xml" ContentType="application/vnd.openxmlformats-officedocument.spreadsheetml.queryTable+xml"/>
  <Override PartName="/xl/tables/table46.xml" ContentType="application/vnd.openxmlformats-officedocument.spreadsheetml.table+xml"/>
  <Override PartName="/xl/queryTables/queryTable43.xml" ContentType="application/vnd.openxmlformats-officedocument.spreadsheetml.queryTable+xml"/>
  <Override PartName="/xl/queryTables/queryTable41.xml" ContentType="application/vnd.openxmlformats-officedocument.spreadsheetml.query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queryTables/queryTable42.xml" ContentType="application/vnd.openxmlformats-officedocument.spreadsheetml.queryTable+xml"/>
  <Override PartName="/xl/tables/table30.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queryTables/queryTable20.xml" ContentType="application/vnd.openxmlformats-officedocument.spreadsheetml.queryTable+xml"/>
  <Override PartName="/xl/tables/table20.xml" ContentType="application/vnd.openxmlformats-officedocument.spreadsheetml.table+xml"/>
  <Override PartName="/xl/tables/table27.xml" ContentType="application/vnd.openxmlformats-officedocument.spreadsheetml.table+xml"/>
  <Override PartName="/xl/queryTables/queryTable19.xml" ContentType="application/vnd.openxmlformats-officedocument.spreadsheetml.queryTable+xml"/>
  <Override PartName="/xl/tables/table21.xml" ContentType="application/vnd.openxmlformats-officedocument.spreadsheetml.table+xml"/>
  <Override PartName="/xl/queryTables/queryTable21.xml" ContentType="application/vnd.openxmlformats-officedocument.spreadsheetml.queryTable+xml"/>
  <Override PartName="/xl/tables/table22.xml" ContentType="application/vnd.openxmlformats-officedocument.spreadsheetml.table+xml"/>
  <Override PartName="/xl/tables/table82.xml" ContentType="application/vnd.openxmlformats-officedocument.spreadsheetml.table+xml"/>
  <Override PartName="/xl/queryTables/queryTable79.xml" ContentType="application/vnd.openxmlformats-officedocument.spreadsheetml.queryTable+xml"/>
  <Override PartName="/xl/tables/table83.xml" ContentType="application/vnd.openxmlformats-officedocument.spreadsheetml.table+xml"/>
  <Override PartName="/xl/queryTables/queryTable80.xml" ContentType="application/vnd.openxmlformats-officedocument.spreadsheetml.queryTable+xml"/>
  <Override PartName="/xl/tables/table19.xml" ContentType="application/vnd.openxmlformats-officedocument.spreadsheetml.table+xml"/>
  <Override PartName="/xl/queryTables/queryTable27.xml" ContentType="application/vnd.openxmlformats-officedocument.spreadsheetml.queryTable+xml"/>
  <Override PartName="/xl/queryTables/queryTable15.xml" ContentType="application/vnd.openxmlformats-officedocument.spreadsheetml.queryTable+xml"/>
  <Override PartName="/xl/tables/table15.xml" ContentType="application/vnd.openxmlformats-officedocument.spreadsheetml.table+xml"/>
  <Override PartName="/xl/queryTables/queryTable14.xml" ContentType="application/vnd.openxmlformats-officedocument.spreadsheetml.queryTable+xml"/>
  <Override PartName="/xl/tables/table14.xml" ContentType="application/vnd.openxmlformats-officedocument.spreadsheetml.table+xml"/>
  <Override PartName="/xl/queryTables/queryTable13.xml" ContentType="application/vnd.openxmlformats-officedocument.spreadsheetml.queryTable+xml"/>
  <Override PartName="/xl/tables/table71.xml" ContentType="application/vnd.openxmlformats-officedocument.spreadsheetml.table+xml"/>
  <Override PartName="/xl/tables/table16.xml" ContentType="application/vnd.openxmlformats-officedocument.spreadsheetml.table+xml"/>
  <Override PartName="/xl/queryTables/queryTable18.xml" ContentType="application/vnd.openxmlformats-officedocument.spreadsheetml.queryTable+xml"/>
  <Override PartName="/xl/tables/table18.xml" ContentType="application/vnd.openxmlformats-officedocument.spreadsheetml.table+xml"/>
  <Override PartName="/xl/queryTables/queryTable17.xml" ContentType="application/vnd.openxmlformats-officedocument.spreadsheetml.queryTable+xml"/>
  <Override PartName="/xl/tables/table17.xml" ContentType="application/vnd.openxmlformats-officedocument.spreadsheetml.table+xml"/>
  <Override PartName="/xl/queryTables/queryTable68.xml" ContentType="application/vnd.openxmlformats-officedocument.spreadsheetml.queryTable+xml"/>
  <Override PartName="/xl/queryTables/queryTable16.xml" ContentType="application/vnd.openxmlformats-officedocument.spreadsheetml.queryTable+xml"/>
  <Override PartName="/xl/queryTables/queryTable78.xml" ContentType="application/vnd.openxmlformats-officedocument.spreadsheetml.queryTable+xml"/>
  <Override PartName="/xl/tables/table81.xml" ContentType="application/vnd.openxmlformats-officedocument.spreadsheetml.table+xml"/>
  <Override PartName="/xl/queryTables/queryTable72.xml" ContentType="application/vnd.openxmlformats-officedocument.spreadsheetml.queryTable+xml"/>
  <Override PartName="/xl/tables/table75.xml" ContentType="application/vnd.openxmlformats-officedocument.spreadsheetml.table+xml"/>
  <Override PartName="/xl/tables/table76.xml" ContentType="application/vnd.openxmlformats-officedocument.spreadsheetml.table+xml"/>
  <Override PartName="/xl/queryTables/queryTable73.xml" ContentType="application/vnd.openxmlformats-officedocument.spreadsheetml.queryTable+xml"/>
  <Override PartName="/xl/queryTables/queryTable26.xml" ContentType="application/vnd.openxmlformats-officedocument.spreadsheetml.queryTable+xml"/>
  <Override PartName="/xl/tables/table25.xml" ContentType="application/vnd.openxmlformats-officedocument.spreadsheetml.table+xml"/>
  <Override PartName="/xl/queryTables/queryTable70.xml" ContentType="application/vnd.openxmlformats-officedocument.spreadsheetml.queryTable+xml"/>
  <Override PartName="/xl/queryTables/queryTable25.xml" ContentType="application/vnd.openxmlformats-officedocument.spreadsheetml.queryTable+xml"/>
  <Override PartName="/xl/tables/table74.xml" ContentType="application/vnd.openxmlformats-officedocument.spreadsheetml.table+xml"/>
  <Override PartName="/xl/queryTables/queryTable71.xml" ContentType="application/vnd.openxmlformats-officedocument.spreadsheetml.queryTable+xml"/>
  <Override PartName="/xl/queryTables/queryTable24.xml" ContentType="application/vnd.openxmlformats-officedocument.spreadsheetml.queryTable+xml"/>
  <Override PartName="/xl/tables/table24.xml" ContentType="application/vnd.openxmlformats-officedocument.spreadsheetml.table+xml"/>
  <Override PartName="/xl/tables/table23.xml" ContentType="application/vnd.openxmlformats-officedocument.spreadsheetml.table+xml"/>
  <Override PartName="/xl/tables/table80.xml" ContentType="application/vnd.openxmlformats-officedocument.spreadsheetml.table+xml"/>
  <Override PartName="/xl/queryTables/queryTable77.xml" ContentType="application/vnd.openxmlformats-officedocument.spreadsheetml.queryTable+xml"/>
  <Override PartName="/xl/tables/table72.xml" ContentType="application/vnd.openxmlformats-officedocument.spreadsheetml.table+xml"/>
  <Override PartName="/xl/queryTables/queryTable22.xml" ContentType="application/vnd.openxmlformats-officedocument.spreadsheetml.queryTable+xml"/>
  <Override PartName="/xl/queryTables/queryTable76.xml" ContentType="application/vnd.openxmlformats-officedocument.spreadsheetml.queryTable+xml"/>
  <Override PartName="/xl/tables/table79.xml" ContentType="application/vnd.openxmlformats-officedocument.spreadsheetml.table+xml"/>
  <Override PartName="/xl/queryTables/queryTable23.xml" ContentType="application/vnd.openxmlformats-officedocument.spreadsheetml.queryTable+xml"/>
  <Override PartName="/xl/queryTables/queryTable69.xml" ContentType="application/vnd.openxmlformats-officedocument.spreadsheetml.queryTable+xml"/>
  <Override PartName="/xl/tables/table77.xml" ContentType="application/vnd.openxmlformats-officedocument.spreadsheetml.table+xml"/>
  <Override PartName="/xl/queryTables/queryTable74.xml" ContentType="application/vnd.openxmlformats-officedocument.spreadsheetml.queryTable+xml"/>
  <Override PartName="/xl/tables/table78.xml" ContentType="application/vnd.openxmlformats-officedocument.spreadsheetml.table+xml"/>
  <Override PartName="/xl/queryTables/queryTable75.xml" ContentType="application/vnd.openxmlformats-officedocument.spreadsheetml.queryTable+xml"/>
  <Override PartName="/xl/tables/table13.xml" ContentType="application/vnd.openxmlformats-officedocument.spreadsheetml.table+xml"/>
  <Override PartName="/xl/queryTables/queryTable12.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29.xml" ContentType="application/vnd.openxmlformats-officedocument.spreadsheetml.table+xml"/>
  <Override PartName="/xl/queryTables/queryTable29.xml" ContentType="application/vnd.openxmlformats-officedocument.spreadsheetml.queryTable+xml"/>
  <Override PartName="/xl/queryTables/queryTable1.xml" ContentType="application/vnd.openxmlformats-officedocument.spreadsheetml.queryTable+xml"/>
  <Override PartName="/xl/tables/table1.xml" ContentType="application/vnd.openxmlformats-officedocument.spreadsheetml.table+xml"/>
  <Override PartName="/xl/tables/table65.xml" ContentType="application/vnd.openxmlformats-officedocument.spreadsheetml.table+xml"/>
  <Override PartName="/xl/queryTables/queryTable63.xml" ContentType="application/vnd.openxmlformats-officedocument.spreadsheetml.queryTable+xml"/>
  <Override PartName="/xl/tables/table66.xml" ContentType="application/vnd.openxmlformats-officedocument.spreadsheetml.table+xml"/>
  <Override PartName="/xl/queryTables/queryTable62.xml" ContentType="application/vnd.openxmlformats-officedocument.spreadsheetml.queryTable+xml"/>
  <Override PartName="/xl/queryTables/queryTable61.xml" ContentType="application/vnd.openxmlformats-officedocument.spreadsheetml.queryTable+xml"/>
  <Override PartName="/xl/tables/table64.xml" ContentType="application/vnd.openxmlformats-officedocument.spreadsheetml.table+xml"/>
  <Override PartName="/xl/tables/table63.xml" ContentType="application/vnd.openxmlformats-officedocument.spreadsheetml.table+xml"/>
  <Override PartName="/xl/connections.xml" ContentType="application/vnd.openxmlformats-officedocument.spreadsheetml.connections+xml"/>
  <Override PartName="/xl/externalLinks/externalLink1.xml" ContentType="application/vnd.openxmlformats-officedocument.spreadsheetml.externalLink+xml"/>
  <Override PartName="/xl/queryTables/queryTable59.xml" ContentType="application/vnd.openxmlformats-officedocument.spreadsheetml.queryTable+xml"/>
  <Override PartName="/xl/tables/table62.xml" ContentType="application/vnd.openxmlformats-officedocument.spreadsheetml.table+xml"/>
  <Override PartName="/xl/tables/table26.xml" ContentType="application/vnd.openxmlformats-officedocument.spreadsheetml.table+xml"/>
  <Override PartName="/xl/queryTables/queryTable60.xml" ContentType="application/vnd.openxmlformats-officedocument.spreadsheetml.queryTable+xml"/>
  <Override PartName="/xl/queryTables/queryTable28.xml" ContentType="application/vnd.openxmlformats-officedocument.spreadsheetml.queryTable+xml"/>
  <Override PartName="/xl/tables/table67.xml" ContentType="application/vnd.openxmlformats-officedocument.spreadsheetml.table+xml"/>
  <Override PartName="/xl/tables/table70.xml" ContentType="application/vnd.openxmlformats-officedocument.spreadsheetml.table+xml"/>
  <Override PartName="/xl/queryTables/queryTable8.xml" ContentType="application/vnd.openxmlformats-officedocument.spreadsheetml.queryTable+xml"/>
  <Override PartName="/xl/tables/table8.xml" ContentType="application/vnd.openxmlformats-officedocument.spreadsheetml.table+xml"/>
  <Override PartName="/xl/queryTables/queryTable7.xml" ContentType="application/vnd.openxmlformats-officedocument.spreadsheetml.queryTable+xml"/>
  <Override PartName="/xl/tables/table7.xml" ContentType="application/vnd.openxmlformats-officedocument.spreadsheetml.table+xml"/>
  <Override PartName="/xl/tables/table9.xml" ContentType="application/vnd.openxmlformats-officedocument.spreadsheetml.table+xml"/>
  <Override PartName="/xl/queryTables/queryTable9.xml" ContentType="application/vnd.openxmlformats-officedocument.spreadsheetml.queryTable+xml"/>
  <Override PartName="/xl/tables/table12.xml" ContentType="application/vnd.openxmlformats-officedocument.spreadsheetml.table+xml"/>
  <Override PartName="/xl/queryTables/queryTable11.xml" ContentType="application/vnd.openxmlformats-officedocument.spreadsheetml.queryTable+xml"/>
  <Override PartName="/xl/tables/table11.xml" ContentType="application/vnd.openxmlformats-officedocument.spreadsheetml.table+xml"/>
  <Override PartName="/xl/queryTables/queryTable10.xml" ContentType="application/vnd.openxmlformats-officedocument.spreadsheetml.queryTable+xml"/>
  <Override PartName="/xl/tables/table10.xml" ContentType="application/vnd.openxmlformats-officedocument.spreadsheetml.table+xml"/>
  <Override PartName="/xl/queryTables/queryTable67.xml" ContentType="application/vnd.openxmlformats-officedocument.spreadsheetml.queryTable+xml"/>
  <Override PartName="/xl/queryTables/queryTable6.xml" ContentType="application/vnd.openxmlformats-officedocument.spreadsheetml.queryTable+xml"/>
  <Override PartName="/xl/tables/table6.xml" ContentType="application/vnd.openxmlformats-officedocument.spreadsheetml.table+xml"/>
  <Override PartName="/xl/queryTables/queryTable3.xml" ContentType="application/vnd.openxmlformats-officedocument.spreadsheetml.queryTable+xml"/>
  <Override PartName="/xl/tables/table3.xml" ContentType="application/vnd.openxmlformats-officedocument.spreadsheetml.table+xml"/>
  <Override PartName="/xl/tables/table68.xml" ContentType="application/vnd.openxmlformats-officedocument.spreadsheetml.table+xml"/>
  <Override PartName="/xl/tables/table28.xml" ContentType="application/vnd.openxmlformats-officedocument.spreadsheetml.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tables/table4.xml" ContentType="application/vnd.openxmlformats-officedocument.spreadsheetml.table+xml"/>
  <Override PartName="/xl/queryTables/queryTable66.xml" ContentType="application/vnd.openxmlformats-officedocument.spreadsheetml.queryTable+xml"/>
  <Override PartName="/xl/queryTables/queryTable5.xml" ContentType="application/vnd.openxmlformats-officedocument.spreadsheetml.queryTable+xml"/>
  <Override PartName="/xl/tables/table5.xml" ContentType="application/vnd.openxmlformats-officedocument.spreadsheetml.table+xml"/>
  <Override PartName="/xl/tables/table69.xml" ContentType="application/vnd.openxmlformats-officedocument.spreadsheetml.table+xml"/>
  <Override PartName="/xl/queryTables/queryTable4.xml" ContentType="application/vnd.openxmlformats-officedocument.spreadsheetml.queryTable+xml"/>
  <Override PartName="/xl/queryTables/queryTable58.xml" ContentType="application/vnd.openxmlformats-officedocument.spreadsheetml.query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20" windowWidth="24240" windowHeight="13740" tabRatio="1000" activeTab="14"/>
  </bookViews>
  <sheets>
    <sheet name="Sheet1" sheetId="132" r:id="rId1"/>
    <sheet name="Intr." sheetId="155" r:id="rId2"/>
    <sheet name="Cont." sheetId="156" r:id="rId3"/>
    <sheet name="ConT.GR" sheetId="157" r:id="rId4"/>
    <sheet name="-" sheetId="158" r:id="rId5"/>
    <sheet name="Pref." sheetId="159" r:id="rId6"/>
    <sheet name="Def." sheetId="160" r:id="rId7"/>
    <sheet name="المؤشرات" sheetId="161" r:id="rId8"/>
    <sheet name="FIRST" sheetId="13" r:id="rId9"/>
    <sheet name="1" sheetId="14" r:id="rId10"/>
    <sheet name="GR-1" sheetId="15" r:id="rId11"/>
    <sheet name="2" sheetId="125" r:id="rId12"/>
    <sheet name="3" sheetId="16" r:id="rId13"/>
    <sheet name="GR-2" sheetId="17" r:id="rId14"/>
    <sheet name="4" sheetId="18" r:id="rId15"/>
    <sheet name="GR-3" sheetId="19" r:id="rId16"/>
    <sheet name="5" sheetId="20" r:id="rId17"/>
    <sheet name="GR-4" sheetId="21" r:id="rId18"/>
    <sheet name="6" sheetId="153" r:id="rId19"/>
    <sheet name="GR-5" sheetId="23" r:id="rId20"/>
    <sheet name="7" sheetId="24" r:id="rId21"/>
    <sheet name="8" sheetId="25" r:id="rId22"/>
    <sheet name="GR-6" sheetId="26" r:id="rId23"/>
    <sheet name="9" sheetId="27" r:id="rId24"/>
    <sheet name="10" sheetId="28" r:id="rId25"/>
    <sheet name="11-1" sheetId="29" r:id="rId26"/>
    <sheet name="11-2" sheetId="30" r:id="rId27"/>
    <sheet name="11-3" sheetId="31" r:id="rId28"/>
    <sheet name="12-1" sheetId="32" r:id="rId29"/>
    <sheet name="12-2" sheetId="33" r:id="rId30"/>
    <sheet name="12-3" sheetId="34" r:id="rId31"/>
    <sheet name="13-1" sheetId="35" r:id="rId32"/>
    <sheet name="13-2" sheetId="36" r:id="rId33"/>
    <sheet name="13-3" sheetId="37" r:id="rId34"/>
    <sheet name="14-1" sheetId="38" r:id="rId35"/>
    <sheet name="14-2" sheetId="39" r:id="rId36"/>
    <sheet name="14-3" sheetId="40" r:id="rId37"/>
    <sheet name="15-1" sheetId="41" r:id="rId38"/>
    <sheet name="15-2" sheetId="42" r:id="rId39"/>
    <sheet name="15-3" sheetId="43" r:id="rId40"/>
    <sheet name="16-1" sheetId="44" r:id="rId41"/>
    <sheet name="16-2" sheetId="45" r:id="rId42"/>
    <sheet name="16-3" sheetId="46" r:id="rId43"/>
    <sheet name="GR-7" sheetId="47" r:id="rId44"/>
    <sheet name="17-1" sheetId="48" r:id="rId45"/>
    <sheet name="17-2" sheetId="49" r:id="rId46"/>
    <sheet name="17-3" sheetId="50" r:id="rId47"/>
    <sheet name="GR-8 " sheetId="51" r:id="rId48"/>
    <sheet name="18-1" sheetId="52" r:id="rId49"/>
    <sheet name="18-2" sheetId="53" r:id="rId50"/>
    <sheet name="18-3" sheetId="54" r:id="rId51"/>
    <sheet name="19" sheetId="55" r:id="rId52"/>
    <sheet name="20" sheetId="56" r:id="rId53"/>
    <sheet name="GR9" sheetId="57" r:id="rId54"/>
    <sheet name="SECOND" sheetId="58" r:id="rId55"/>
    <sheet name="21" sheetId="59" r:id="rId56"/>
    <sheet name="GR-10" sheetId="60" r:id="rId57"/>
    <sheet name="22" sheetId="154" r:id="rId58"/>
    <sheet name="GR11" sheetId="62" r:id="rId59"/>
    <sheet name="23" sheetId="63" r:id="rId60"/>
    <sheet name="GR12" sheetId="64" r:id="rId61"/>
    <sheet name="24" sheetId="65" r:id="rId62"/>
    <sheet name="GR13" sheetId="66" r:id="rId63"/>
    <sheet name="GR14" sheetId="67" r:id="rId64"/>
    <sheet name="25-1" sheetId="68" r:id="rId65"/>
    <sheet name="25-2" sheetId="69" r:id="rId66"/>
    <sheet name="25-3" sheetId="70" r:id="rId67"/>
    <sheet name="26-1" sheetId="71" r:id="rId68"/>
    <sheet name="26-2" sheetId="72" r:id="rId69"/>
    <sheet name="26-3" sheetId="73" r:id="rId70"/>
    <sheet name="27" sheetId="140" r:id="rId71"/>
    <sheet name="28.1" sheetId="74" r:id="rId72"/>
    <sheet name="28.2" sheetId="75" r:id="rId73"/>
    <sheet name="28.3" sheetId="76" r:id="rId74"/>
    <sheet name="29" sheetId="142" r:id="rId75"/>
    <sheet name="30.1" sheetId="77" r:id="rId76"/>
    <sheet name="30.2" sheetId="78" r:id="rId77"/>
    <sheet name="30.3" sheetId="79" r:id="rId78"/>
    <sheet name="31.1" sheetId="80" r:id="rId79"/>
    <sheet name="31.2" sheetId="81" r:id="rId80"/>
    <sheet name="31.3" sheetId="82" r:id="rId81"/>
    <sheet name="32.1" sheetId="83" r:id="rId82"/>
    <sheet name="32.2" sheetId="84" r:id="rId83"/>
    <sheet name="32.3" sheetId="85" r:id="rId84"/>
    <sheet name="33.1" sheetId="86" r:id="rId85"/>
    <sheet name="33.2" sheetId="87" r:id="rId86"/>
    <sheet name="33.3" sheetId="88" r:id="rId87"/>
    <sheet name="34" sheetId="89" r:id="rId88"/>
    <sheet name="35" sheetId="90" r:id="rId89"/>
    <sheet name="36" sheetId="91" r:id="rId90"/>
    <sheet name="GR15" sheetId="92" r:id="rId91"/>
    <sheet name="37" sheetId="93" r:id="rId92"/>
    <sheet name="38.1" sheetId="94" r:id="rId93"/>
    <sheet name="38.2" sheetId="95" r:id="rId94"/>
    <sheet name="38.3" sheetId="96" r:id="rId95"/>
    <sheet name="GR16" sheetId="97" r:id="rId96"/>
    <sheet name="39.1" sheetId="98" r:id="rId97"/>
    <sheet name="39.2" sheetId="99" r:id="rId98"/>
    <sheet name="39.3" sheetId="100" r:id="rId99"/>
    <sheet name="40.1" sheetId="101" r:id="rId100"/>
    <sheet name="40.2" sheetId="102" r:id="rId101"/>
    <sheet name="40.3" sheetId="103" r:id="rId102"/>
    <sheet name="GR17" sheetId="104" r:id="rId103"/>
    <sheet name="41.1" sheetId="105" r:id="rId104"/>
    <sheet name="GR18" sheetId="106" r:id="rId105"/>
    <sheet name="41.2" sheetId="107" r:id="rId106"/>
    <sheet name="GR19" sheetId="108" r:id="rId107"/>
    <sheet name="41.3" sheetId="109" r:id="rId108"/>
    <sheet name="GR20" sheetId="110" r:id="rId109"/>
    <sheet name="42-1" sheetId="111" r:id="rId110"/>
    <sheet name="GR21" sheetId="112" r:id="rId111"/>
    <sheet name="42-2" sheetId="113" r:id="rId112"/>
    <sheet name="GR22" sheetId="133" r:id="rId113"/>
    <sheet name="42-3" sheetId="115" r:id="rId114"/>
    <sheet name="GR23" sheetId="134" r:id="rId115"/>
    <sheet name="43-1" sheetId="117" r:id="rId116"/>
    <sheet name="43-2" sheetId="118" r:id="rId117"/>
    <sheet name="43-3" sheetId="119" r:id="rId118"/>
    <sheet name="44" sheetId="126" r:id="rId119"/>
    <sheet name="GR24" sheetId="121" r:id="rId120"/>
    <sheet name="45" sheetId="122" r:id="rId121"/>
    <sheet name="46" sheetId="138" r:id="rId122"/>
    <sheet name="47" sheetId="139" r:id="rId123"/>
    <sheet name="الملاحق" sheetId="162" r:id="rId124"/>
    <sheet name="الزواج Marriage" sheetId="163" r:id="rId125"/>
    <sheet name="الطلاق Divorces" sheetId="164" r:id="rId126"/>
  </sheets>
  <externalReferences>
    <externalReference r:id="rId127"/>
  </externalReferences>
  <definedNames>
    <definedName name="Default__XLS_TAB_1" localSheetId="9" hidden="1">'1'!$A$10:$N$19</definedName>
    <definedName name="Default__XLS_TAB_10" localSheetId="24" hidden="1">'10'!$A$8:$N$13</definedName>
    <definedName name="Default__XLS_TAB_11_1" localSheetId="25" hidden="1">'11-1'!$A$9:$N$22</definedName>
    <definedName name="Default__XLS_TAB_11_2" localSheetId="26" hidden="1">'11-2'!$A$9:$N$22</definedName>
    <definedName name="Default__XLS_TAB_11_3" localSheetId="27" hidden="1">'11-3'!$A$9:$N$22</definedName>
    <definedName name="Default__XLS_TAB_12_1" localSheetId="28" hidden="1">'12-1'!$A$9:$H$22</definedName>
    <definedName name="Default__XLS_TAB_12_2" localSheetId="29" hidden="1">'12-2'!$A$9:$H$22</definedName>
    <definedName name="Default__XLS_TAB_12_3" localSheetId="30" hidden="1">'12-3'!$A$9:$H$22</definedName>
    <definedName name="Default__XLS_TAB_13_1" localSheetId="31" hidden="1">'13-1'!$A$9:$H$22</definedName>
    <definedName name="Default__XLS_TAB_13_2" localSheetId="32" hidden="1">'13-2'!$A$9:$H$22</definedName>
    <definedName name="Default__XLS_TAB_13_3" localSheetId="33" hidden="1">'13-3'!$A$9:$H$22</definedName>
    <definedName name="Default__XLS_TAB_14_1" localSheetId="34" hidden="1">'14-1'!$A$9:$G$19</definedName>
    <definedName name="Default__XLS_TAB_14_2" localSheetId="35" hidden="1">'14-2'!$A$9:$G$19</definedName>
    <definedName name="Default__XLS_TAB_14_3" localSheetId="36" hidden="1">'14-3'!$A$9:$G$19</definedName>
    <definedName name="Default__XLS_TAB_15_1" localSheetId="37" hidden="1">'15-1'!$A$8:$F$17</definedName>
    <definedName name="Default__XLS_TAB_15_2" localSheetId="38" hidden="1">'15-2'!$A$8:$F$17</definedName>
    <definedName name="Default__XLS_TAB_15_3" localSheetId="39" hidden="1">'15-3'!$A$8:$F$17</definedName>
    <definedName name="Default__XLS_TAB_16_1" localSheetId="40" hidden="1">'16-1'!$B$9:$J$16</definedName>
    <definedName name="Default__XLS_TAB_16_2" localSheetId="41" hidden="1">'16-2'!$B$9:$J$16</definedName>
    <definedName name="Default__XLS_TAB_16_3" localSheetId="42" hidden="1">'16-3'!$B$9:$J$16</definedName>
    <definedName name="Default__XLS_TAB_17_1" localSheetId="44" hidden="1">'17-1'!$A$10:$O$21</definedName>
    <definedName name="Default__XLS_TAB_17_2" localSheetId="45" hidden="1">'17-2'!$A$10:$O$21</definedName>
    <definedName name="Default__XLS_TAB_17_3" localSheetId="46" hidden="1">'17-3'!$A$10:$O$21</definedName>
    <definedName name="Default__XLS_TAB_18_1" localSheetId="48" hidden="1">'18-1'!$A$9:$N$22</definedName>
    <definedName name="Default__XLS_TAB_18_2" localSheetId="49" hidden="1">'18-2'!$A$9:$N$22</definedName>
    <definedName name="Default__XLS_TAB_18_3" localSheetId="50" hidden="1">'18-3'!$A$9:$N$22</definedName>
    <definedName name="Default__XLS_TAB_19" localSheetId="51" hidden="1">'19'!$C$8:$J$15</definedName>
    <definedName name="Default__XLS_TAB_2" localSheetId="11" hidden="1">'2'!$A$9:$N$13</definedName>
    <definedName name="Default__XLS_TAB_20" localSheetId="52" hidden="1">'20'!$C$8:$J$15</definedName>
    <definedName name="Default__XLS_TAB_23" localSheetId="59" hidden="1">'23'!$B$8:$G$19</definedName>
    <definedName name="Default__XLS_TAB_24" localSheetId="61" hidden="1">'24'!$B$8:$G$13</definedName>
    <definedName name="Default__XLS_TAB_25_1" localSheetId="64" hidden="1">'25-1'!$B$9:$G$22</definedName>
    <definedName name="Default__XLS_TAB_25_2" localSheetId="65" hidden="1">'25-2'!$B$9:$G$22</definedName>
    <definedName name="Default__XLS_TAB_25_3" localSheetId="66" hidden="1">'25-3'!$B$9:$G$22</definedName>
    <definedName name="Default__XLS_TAB_26_2" localSheetId="67" hidden="1">'26-1'!$B$9:$G$19</definedName>
    <definedName name="Default__XLS_TAB_26_2" localSheetId="68" hidden="1">'26-2'!$B$9:$G$19</definedName>
    <definedName name="Default__XLS_TAB_26_2" localSheetId="69" hidden="1">'26-3'!$B$9:$G$19</definedName>
    <definedName name="Default__XLS_TAB_27_1" localSheetId="71" hidden="1">'28.1'!$B$9:$G$20</definedName>
    <definedName name="Default__XLS_TAB_27_1" localSheetId="72" hidden="1">'28.2'!$B$9:$G$20</definedName>
    <definedName name="Default__XLS_TAB_27_2" localSheetId="70" hidden="1">'27'!$C$8:$H$18</definedName>
    <definedName name="Default__XLS_TAB_27_2" localSheetId="121" hidden="1">'46'!$A$7:$E$13</definedName>
    <definedName name="Default__XLS_TAB_27_3" localSheetId="73" hidden="1">'28.3'!$B$9:$G$20</definedName>
    <definedName name="Default__XLS_TAB_28_1" localSheetId="75" hidden="1">'30.1'!$B$9:$G$20</definedName>
    <definedName name="Default__XLS_TAB_28_1" localSheetId="76" hidden="1">'30.2'!$B$9:$G$20</definedName>
    <definedName name="Default__XLS_TAB_28_2" localSheetId="76" hidden="1">'30.2'!$B$9:$I$16</definedName>
    <definedName name="Default__XLS_TAB_28_3" localSheetId="77" hidden="1">'30.3'!$B$9:$G$20</definedName>
    <definedName name="Default__XLS_TAB_30_2" localSheetId="74" hidden="1">'29'!$A$9:$N$20</definedName>
    <definedName name="Default__XLS_TAB_30_2" localSheetId="82" hidden="1">'32.2'!#REF!</definedName>
    <definedName name="Default__XLS_TAB_30_3" localSheetId="81" hidden="1">'32.1'!$A$9:$O$19</definedName>
    <definedName name="Default__XLS_TAB_30_3" localSheetId="82" hidden="1">'32.2'!$A$9:$O$19</definedName>
    <definedName name="Default__XLS_TAB_30_3" localSheetId="83" hidden="1">'32.3'!$A$9:$O$19</definedName>
    <definedName name="Default__XLS_TAB_31_1" localSheetId="84" hidden="1">'33.1'!$A$9:$N$22</definedName>
    <definedName name="Default__XLS_TAB_31_2" localSheetId="85" hidden="1">'33.2'!$A$9:$N$22</definedName>
    <definedName name="Default__XLS_TAB_31_3" localSheetId="86" hidden="1">'33.3'!$A$9:$N$22</definedName>
    <definedName name="Default__XLS_TAB_32" localSheetId="87" hidden="1">'34'!$A$8:$Q$13</definedName>
    <definedName name="Default__XLS_TAB_33" localSheetId="88" hidden="1">'35'!$A$8:$N$13</definedName>
    <definedName name="Default__XLS_TAB_34" localSheetId="89" hidden="1">'36'!$B$8:$H$13</definedName>
    <definedName name="Default__XLS_TAB_35" localSheetId="91" hidden="1">'37'!$G$9:$M$22</definedName>
    <definedName name="Default__XLS_TAB_36_1" localSheetId="92" hidden="1">'38.1'!$B$9:$J$16</definedName>
    <definedName name="Default__XLS_TAB_36_2" localSheetId="93" hidden="1">'38.2'!$B$9:$J$16</definedName>
    <definedName name="Default__XLS_TAB_36_3" localSheetId="94" hidden="1">'38.3'!$B$9:$J$16</definedName>
    <definedName name="Default__XLS_TAB_37_1" localSheetId="96" hidden="1">'39.1'!$B$9:$J$19</definedName>
    <definedName name="Default__XLS_TAB_37_2" localSheetId="97" hidden="1">'39.2'!$B$9:$J$19</definedName>
    <definedName name="Default__XLS_TAB_37_3" localSheetId="98" hidden="1">'39.3'!$B$9:$J$19</definedName>
    <definedName name="Default__XLS_TAB_38_1" localSheetId="99" hidden="1">'40.1'!$A$10:$O$21</definedName>
    <definedName name="Default__XLS_TAB_38_2" localSheetId="100" hidden="1">'40.2'!$A$10:$O$21</definedName>
    <definedName name="Default__XLS_TAB_38_3" localSheetId="101" hidden="1">'40.3'!$A$10:$O$21</definedName>
    <definedName name="Default__XLS_TAB_39_1" localSheetId="103" hidden="1">'41.1'!$V$9:$V$22</definedName>
    <definedName name="Default__XLS_TAB_39_2" localSheetId="105" hidden="1">'41.2'!$A$9:$N$22</definedName>
    <definedName name="Default__XLS_TAB_39_3" localSheetId="107" hidden="1">'41.3'!$A$9:$N$22</definedName>
    <definedName name="Default__XLS_TAB_40_1" localSheetId="109" hidden="1">'42-1'!$B$9:$M$22</definedName>
    <definedName name="Default__XLS_TAB_40_2" localSheetId="111" hidden="1">'42-2'!$B$9:$M$22</definedName>
    <definedName name="Default__XLS_TAB_40_3" localSheetId="113" hidden="1">'42-3'!$B$9:$M$22</definedName>
    <definedName name="Default__XLS_TAB_41_1" localSheetId="115" hidden="1">'43-1'!$B$9:$J$19</definedName>
    <definedName name="Default__XLS_TAB_41_2" localSheetId="116" hidden="1">'43-2'!$B$9:$J$19</definedName>
    <definedName name="Default__XLS_TAB_41_3" localSheetId="117" hidden="1">'43-3'!$B$9:$J$19</definedName>
    <definedName name="Default__XLS_TAB_42" localSheetId="118" hidden="1">'44'!$C$8:$J$15</definedName>
    <definedName name="Default__XLS_TAB_43" localSheetId="120" hidden="1">'45'!$A$8:$L$19</definedName>
    <definedName name="Default__XLS_TAB_48" localSheetId="122" hidden="1">'47'!$A$7:$E$13</definedName>
    <definedName name="Default__XLS_TAB_7" localSheetId="20" hidden="1">'7'!$B$7:$G$18</definedName>
    <definedName name="Default__XLS_TAB_8" localSheetId="21" hidden="1">'8'!$B$8:$H$13</definedName>
    <definedName name="Default__XLS_TAB_9" localSheetId="23" hidden="1">'9'!$A$8:$Q$13</definedName>
    <definedName name="_xlnm.Print_Area" localSheetId="4">'-'!$A$1:$K$61</definedName>
    <definedName name="_xlnm.Print_Area" localSheetId="9">'1'!$A$1:$N$19</definedName>
    <definedName name="_xlnm.Print_Area" localSheetId="24">'10'!$A$1:$N$14</definedName>
    <definedName name="_xlnm.Print_Area" localSheetId="25">'11-1'!$A$1:$N$23</definedName>
    <definedName name="_xlnm.Print_Area" localSheetId="26">'11-2'!$A$1:$N$23</definedName>
    <definedName name="_xlnm.Print_Area" localSheetId="27">'11-3'!$A$1:$N$23</definedName>
    <definedName name="_xlnm.Print_Area" localSheetId="28">'12-1'!$A$1:$H$24</definedName>
    <definedName name="_xlnm.Print_Area" localSheetId="29">'12-2'!$A$1:$H$24</definedName>
    <definedName name="_xlnm.Print_Area" localSheetId="30">'12-3'!$A$1:$H$24</definedName>
    <definedName name="_xlnm.Print_Area" localSheetId="31">'13-1'!$A$1:$H$24</definedName>
    <definedName name="_xlnm.Print_Area" localSheetId="32">'13-2'!$A$1:$H$24</definedName>
    <definedName name="_xlnm.Print_Area" localSheetId="33">'13-3'!$A$1:$H$24</definedName>
    <definedName name="_xlnm.Print_Area" localSheetId="34">'14-1'!$A$1:$G$21</definedName>
    <definedName name="_xlnm.Print_Area" localSheetId="35">'14-2'!$A$1:$G$21</definedName>
    <definedName name="_xlnm.Print_Area" localSheetId="36">'14-3'!$A$1:$G$21</definedName>
    <definedName name="_xlnm.Print_Area" localSheetId="37">'15-1'!$A$1:$F$18</definedName>
    <definedName name="_xlnm.Print_Area" localSheetId="38">'15-2'!$A$1:$F$18</definedName>
    <definedName name="_xlnm.Print_Area" localSheetId="39">'15-3'!$A$1:$F$18</definedName>
    <definedName name="_xlnm.Print_Area" localSheetId="40">'16-1'!$A$1:$L$18</definedName>
    <definedName name="_xlnm.Print_Area" localSheetId="41">'16-2'!$A$1:$L$18</definedName>
    <definedName name="_xlnm.Print_Area" localSheetId="42">'16-3'!$A$1:$L$18</definedName>
    <definedName name="_xlnm.Print_Area" localSheetId="44">'17-1'!$A$1:$O$23</definedName>
    <definedName name="_xlnm.Print_Area" localSheetId="45">'17-2'!$A$1:$O$23</definedName>
    <definedName name="_xlnm.Print_Area" localSheetId="46">'17-3'!$A$1:$O$23</definedName>
    <definedName name="_xlnm.Print_Area" localSheetId="48">'18-1'!$A$1:$N$23</definedName>
    <definedName name="_xlnm.Print_Area" localSheetId="49">'18-2'!$A$1:$N$23</definedName>
    <definedName name="_xlnm.Print_Area" localSheetId="50">'18-3'!$A$1:$N$23</definedName>
    <definedName name="_xlnm.Print_Area" localSheetId="51">'19'!$A$1:$N$17</definedName>
    <definedName name="_xlnm.Print_Area" localSheetId="11">'2'!$A$1:$N$13</definedName>
    <definedName name="_xlnm.Print_Area" localSheetId="52">'20'!$A$1:$N$17</definedName>
    <definedName name="_xlnm.Print_Area" localSheetId="57">'22'!$A$1:$Y$31</definedName>
    <definedName name="_xlnm.Print_Area" localSheetId="59">'23'!$A$1:$H$20</definedName>
    <definedName name="_xlnm.Print_Area" localSheetId="61">'24'!$A$1:$I$15</definedName>
    <definedName name="_xlnm.Print_Area" localSheetId="64">'25-1'!$A$1:$I$23</definedName>
    <definedName name="_xlnm.Print_Area" localSheetId="65">'25-2'!$A$1:$I$23</definedName>
    <definedName name="_xlnm.Print_Area" localSheetId="66">'25-3'!$A$1:$I$23</definedName>
    <definedName name="_xlnm.Print_Area" localSheetId="67">'26-1'!$A$1:$I$20</definedName>
    <definedName name="_xlnm.Print_Area" localSheetId="68">'26-2'!$A$1:$I$20</definedName>
    <definedName name="_xlnm.Print_Area" localSheetId="69">'26-3'!$A$1:$I$20</definedName>
    <definedName name="_xlnm.Print_Area" localSheetId="70">'27'!$A$1:$K$19</definedName>
    <definedName name="_xlnm.Print_Area" localSheetId="71">'28.1'!$A$1:$I$22</definedName>
    <definedName name="_xlnm.Print_Area" localSheetId="72">'28.2'!$A$1:$I$22</definedName>
    <definedName name="_xlnm.Print_Area" localSheetId="74">'29'!$A$1:$N$21</definedName>
    <definedName name="_xlnm.Print_Area" localSheetId="75">'30.1'!$A$1:$I$22</definedName>
    <definedName name="_xlnm.Print_Area" localSheetId="76">'30.2'!$A$1:$I$22</definedName>
    <definedName name="_xlnm.Print_Area" localSheetId="77">'30.3'!$A$1:$I$22</definedName>
    <definedName name="_xlnm.Print_Area" localSheetId="78">'31.1'!$A$1:$O$24</definedName>
    <definedName name="_xlnm.Print_Area" localSheetId="79">'31.2'!$A$1:$O$24</definedName>
    <definedName name="_xlnm.Print_Area" localSheetId="80">'31.3'!$A$1:$O$24</definedName>
    <definedName name="_xlnm.Print_Area" localSheetId="81">'32.1'!$A$1:$O$21</definedName>
    <definedName name="_xlnm.Print_Area" localSheetId="82">'32.2'!$A$1:$O$21</definedName>
    <definedName name="_xlnm.Print_Area" localSheetId="83">'32.3'!$A$1:$O$21</definedName>
    <definedName name="_xlnm.Print_Area" localSheetId="84">'33.1'!$A$1:$N$23</definedName>
    <definedName name="_xlnm.Print_Area" localSheetId="85">'33.2'!$A$1:$N$23</definedName>
    <definedName name="_xlnm.Print_Area" localSheetId="86">'33.3'!$A$1:$N$23</definedName>
    <definedName name="_xlnm.Print_Area" localSheetId="87">'34'!$A$1:$Q$14</definedName>
    <definedName name="_xlnm.Print_Area" localSheetId="88">'35'!$A$1:$N$14</definedName>
    <definedName name="_xlnm.Print_Area" localSheetId="89">'36'!$A$1:$J$15</definedName>
    <definedName name="_xlnm.Print_Area" localSheetId="91">'37'!$A$1:$N$23</definedName>
    <definedName name="_xlnm.Print_Area" localSheetId="92">'38.1'!$A$1:$L$18</definedName>
    <definedName name="_xlnm.Print_Area" localSheetId="93">'38.2'!$A$1:$L$18</definedName>
    <definedName name="_xlnm.Print_Area" localSheetId="94">'38.3'!$A$1:$L$18</definedName>
    <definedName name="_xlnm.Print_Area" localSheetId="96">'39.1'!$A$1:$L$21</definedName>
    <definedName name="_xlnm.Print_Area" localSheetId="97">'39.2'!$A$1:$L$21</definedName>
    <definedName name="_xlnm.Print_Area" localSheetId="98">'39.3'!$A$1:$L$21</definedName>
    <definedName name="_xlnm.Print_Area" localSheetId="14">'4'!$A$1:$F$17</definedName>
    <definedName name="_xlnm.Print_Area" localSheetId="99">'40.1'!$A$1:$O$23</definedName>
    <definedName name="_xlnm.Print_Area" localSheetId="100">'40.2'!$A$1:$O$23</definedName>
    <definedName name="_xlnm.Print_Area" localSheetId="101">'40.3'!$A$1:$O$23</definedName>
    <definedName name="_xlnm.Print_Area" localSheetId="103">'41.1'!$I$1:$V$23</definedName>
    <definedName name="_xlnm.Print_Area" localSheetId="105">'41.2'!$A$1:$N$23</definedName>
    <definedName name="_xlnm.Print_Area" localSheetId="107">'41.3'!$A$1:$N$23</definedName>
    <definedName name="_xlnm.Print_Area" localSheetId="109">'42-1'!$A$1:$O$25</definedName>
    <definedName name="_xlnm.Print_Area" localSheetId="111">'42-2'!$A$1:$O$25</definedName>
    <definedName name="_xlnm.Print_Area" localSheetId="113">'42-3'!$A$1:$O$25</definedName>
    <definedName name="_xlnm.Print_Area" localSheetId="115">'43-1'!$A$1:$L$22</definedName>
    <definedName name="_xlnm.Print_Area" localSheetId="116">'43-2'!$A$1:$L$22</definedName>
    <definedName name="_xlnm.Print_Area" localSheetId="117">'43-3'!$A$1:$L$22</definedName>
    <definedName name="_xlnm.Print_Area" localSheetId="118">'44'!$A$1:$N$18</definedName>
    <definedName name="_xlnm.Print_Area" localSheetId="120">'45'!$A$1:$L$21</definedName>
    <definedName name="_xlnm.Print_Area" localSheetId="121">'46'!$A$1:$E$15</definedName>
    <definedName name="_xlnm.Print_Area" localSheetId="122">'47'!$A$1:$E$15</definedName>
    <definedName name="_xlnm.Print_Area" localSheetId="18">'6'!$A$1:$Y$31</definedName>
    <definedName name="_xlnm.Print_Area" localSheetId="20">'7'!$A$1:$H$19</definedName>
    <definedName name="_xlnm.Print_Area" localSheetId="21">'8'!$A$1:$J$15</definedName>
    <definedName name="_xlnm.Print_Area" localSheetId="23">'9'!$A$1:$Q$14</definedName>
    <definedName name="_xlnm.Print_Area" localSheetId="2">Cont.!$A$1:$D$102</definedName>
    <definedName name="_xlnm.Print_Area" localSheetId="3">ConT.GR!$A$1:$D$28</definedName>
    <definedName name="_xlnm.Print_Area" localSheetId="6">Def.!$A$1:$E$18</definedName>
    <definedName name="_xlnm.Print_Area" localSheetId="10">'GR-1'!$A$1:$M$37</definedName>
    <definedName name="_xlnm.Print_Area" localSheetId="56">'GR-10'!$A$1:$M$34</definedName>
    <definedName name="_xlnm.Print_Area" localSheetId="58">'GR11'!$A$1:$K$59</definedName>
    <definedName name="_xlnm.Print_Area" localSheetId="60">'GR12'!$A$1:$N$37</definedName>
    <definedName name="_xlnm.Print_Area" localSheetId="62">'GR13'!$A$1:$M$34</definedName>
    <definedName name="_xlnm.Print_Area" localSheetId="63">'GR14'!$A$1:$M$33</definedName>
    <definedName name="_xlnm.Print_Area" localSheetId="90">'GR15'!$A$1:$N$36</definedName>
    <definedName name="_xlnm.Print_Area" localSheetId="95">'GR16'!$A$1:$N$35</definedName>
    <definedName name="_xlnm.Print_Area" localSheetId="102">'GR17'!$A$1:$N$37</definedName>
    <definedName name="_xlnm.Print_Area" localSheetId="104">'GR18'!$A$1:$N$37</definedName>
    <definedName name="_xlnm.Print_Area" localSheetId="106">'GR19'!$A$1:$N$37</definedName>
    <definedName name="_xlnm.Print_Area" localSheetId="13">'GR-2'!$A$1:$M$36</definedName>
    <definedName name="_xlnm.Print_Area" localSheetId="108">'GR20'!$A$1:$N$36</definedName>
    <definedName name="_xlnm.Print_Area" localSheetId="110">'GR21'!$A$1:$N$37</definedName>
    <definedName name="_xlnm.Print_Area" localSheetId="112">'GR22'!$A$1:$N$37</definedName>
    <definedName name="_xlnm.Print_Area" localSheetId="114">'GR23'!$A$1:$N$37</definedName>
    <definedName name="_xlnm.Print_Area" localSheetId="119">'GR24'!$A$1:$M$33</definedName>
    <definedName name="_xlnm.Print_Area" localSheetId="15">'GR-3'!$A$1:$M$34</definedName>
    <definedName name="_xlnm.Print_Area" localSheetId="17">'GR-4'!$A$1:$M$34</definedName>
    <definedName name="_xlnm.Print_Area" localSheetId="19">'GR-5'!$A$1:$J$55</definedName>
    <definedName name="_xlnm.Print_Area" localSheetId="22">'GR-6'!$A$1:$M$31</definedName>
    <definedName name="_xlnm.Print_Area" localSheetId="43">'GR-7'!$A$1:$M$33</definedName>
    <definedName name="_xlnm.Print_Area" localSheetId="47">'GR-8 '!$A$1:$N$34</definedName>
    <definedName name="_xlnm.Print_Area" localSheetId="53">'GR9'!$A$1:$M$33</definedName>
    <definedName name="_xlnm.Print_Area" localSheetId="124">'الزواج Marriage'!$A$1:$H$30</definedName>
    <definedName name="_xlnm.Print_Area" localSheetId="125">'الطلاق Divorces'!$A$1:$H$30</definedName>
    <definedName name="_xlnm.Print_Area" localSheetId="7">المؤشرات!$A$1:$E$32</definedName>
    <definedName name="_xlnm.Print_Titles" localSheetId="2">Cont.!$1:$3</definedName>
    <definedName name="_xlnm.Print_Titles" localSheetId="3">ConT.GR!$1:$3</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1" i="14" l="1"/>
  <c r="E21" i="14"/>
  <c r="C18" i="14"/>
  <c r="G15" i="77" l="1"/>
  <c r="N12" i="80"/>
  <c r="G9" i="75"/>
  <c r="M17" i="93"/>
  <c r="B20" i="50" l="1"/>
  <c r="B22" i="50"/>
  <c r="C20" i="50"/>
  <c r="D20" i="50"/>
  <c r="E20" i="50"/>
  <c r="F20" i="50"/>
  <c r="G20" i="50"/>
  <c r="H20" i="50"/>
  <c r="I20" i="50"/>
  <c r="J20" i="50"/>
  <c r="K20" i="50"/>
  <c r="M20" i="50"/>
  <c r="N17" i="50"/>
  <c r="N10" i="50"/>
  <c r="L11" i="50"/>
  <c r="N11" i="50" s="1"/>
  <c r="L12" i="50"/>
  <c r="N12" i="50" s="1"/>
  <c r="L13" i="50"/>
  <c r="N13" i="50" s="1"/>
  <c r="L14" i="50"/>
  <c r="N14" i="50" s="1"/>
  <c r="L15" i="50"/>
  <c r="N15" i="50" s="1"/>
  <c r="L16" i="50"/>
  <c r="N16" i="50" s="1"/>
  <c r="L17" i="50"/>
  <c r="L18" i="50"/>
  <c r="N18" i="50" s="1"/>
  <c r="L19" i="50"/>
  <c r="N19" i="50" s="1"/>
  <c r="L10" i="50"/>
  <c r="L20" i="50" s="1"/>
  <c r="L19" i="49"/>
  <c r="N19" i="49" s="1"/>
  <c r="L10" i="49"/>
  <c r="L11" i="49"/>
  <c r="L12" i="49"/>
  <c r="L13" i="49"/>
  <c r="L14" i="49"/>
  <c r="N14" i="49" s="1"/>
  <c r="L15" i="49"/>
  <c r="N15" i="49" s="1"/>
  <c r="L16" i="49"/>
  <c r="N16" i="49" s="1"/>
  <c r="L17" i="49"/>
  <c r="N17" i="49" s="1"/>
  <c r="L18" i="49"/>
  <c r="N18" i="49" s="1"/>
  <c r="N11" i="49"/>
  <c r="N10" i="49"/>
  <c r="N13" i="49"/>
  <c r="N12" i="49"/>
  <c r="B20" i="49"/>
  <c r="B22" i="49" s="1"/>
  <c r="C20" i="49"/>
  <c r="D20" i="49"/>
  <c r="E20" i="49"/>
  <c r="F20" i="49"/>
  <c r="G20" i="49"/>
  <c r="H20" i="49"/>
  <c r="I20" i="49"/>
  <c r="J20" i="49"/>
  <c r="K20" i="49"/>
  <c r="M20" i="49"/>
  <c r="M22" i="49" s="1"/>
  <c r="F20" i="48"/>
  <c r="L10" i="48"/>
  <c r="N10" i="48" s="1"/>
  <c r="N20" i="50" l="1"/>
  <c r="L20" i="49"/>
  <c r="L22" i="49" s="1"/>
  <c r="N20" i="49"/>
  <c r="N22" i="49" s="1"/>
  <c r="B20" i="48" l="1"/>
  <c r="C20" i="48"/>
  <c r="D20" i="48"/>
  <c r="E20" i="48"/>
  <c r="G20" i="48"/>
  <c r="H20" i="48"/>
  <c r="I20" i="48"/>
  <c r="J20" i="48"/>
  <c r="K20" i="48"/>
  <c r="M20" i="48"/>
  <c r="B22" i="48"/>
  <c r="N14" i="48"/>
  <c r="N17" i="48"/>
  <c r="L19" i="48"/>
  <c r="N19" i="48" s="1"/>
  <c r="L11" i="48"/>
  <c r="L12" i="48"/>
  <c r="N12" i="48" s="1"/>
  <c r="L13" i="48"/>
  <c r="N13" i="48" s="1"/>
  <c r="L14" i="48"/>
  <c r="L15" i="48"/>
  <c r="N15" i="48" s="1"/>
  <c r="L16" i="48"/>
  <c r="N16" i="48" s="1"/>
  <c r="L17" i="48"/>
  <c r="L18" i="48"/>
  <c r="N18" i="48" s="1"/>
  <c r="C28" i="153"/>
  <c r="V10" i="153"/>
  <c r="W10" i="153" s="1"/>
  <c r="U10" i="153"/>
  <c r="D8" i="24"/>
  <c r="D9" i="24"/>
  <c r="D10" i="24"/>
  <c r="D11" i="24"/>
  <c r="D12" i="24"/>
  <c r="D13" i="24"/>
  <c r="D14" i="24"/>
  <c r="D15" i="24"/>
  <c r="D16" i="24"/>
  <c r="D17" i="24"/>
  <c r="D18" i="24"/>
  <c r="D7" i="24"/>
  <c r="G8" i="24"/>
  <c r="G9" i="24"/>
  <c r="G10" i="24"/>
  <c r="G11" i="24"/>
  <c r="G12" i="24"/>
  <c r="G13" i="24"/>
  <c r="G14" i="24"/>
  <c r="G15" i="24"/>
  <c r="G16" i="24"/>
  <c r="G17" i="24"/>
  <c r="G18" i="24"/>
  <c r="G7" i="24"/>
  <c r="B14" i="25"/>
  <c r="H9" i="25"/>
  <c r="H10" i="25"/>
  <c r="H11" i="25"/>
  <c r="H12" i="25"/>
  <c r="H13" i="25"/>
  <c r="H8" i="25"/>
  <c r="P10" i="27"/>
  <c r="P9" i="27"/>
  <c r="P11" i="27"/>
  <c r="P12" i="27"/>
  <c r="P13" i="27"/>
  <c r="P8" i="27"/>
  <c r="B14" i="27"/>
  <c r="B14" i="28"/>
  <c r="M10" i="28"/>
  <c r="M9" i="28"/>
  <c r="M11" i="28"/>
  <c r="M12" i="28"/>
  <c r="M13" i="28"/>
  <c r="M8" i="28"/>
  <c r="B23" i="29"/>
  <c r="M10" i="29"/>
  <c r="M11" i="29"/>
  <c r="M12" i="29"/>
  <c r="M13" i="29"/>
  <c r="M14" i="29"/>
  <c r="M15" i="29"/>
  <c r="M16" i="29"/>
  <c r="M17" i="29"/>
  <c r="M18" i="29"/>
  <c r="M19" i="29"/>
  <c r="M20" i="29"/>
  <c r="M21" i="29"/>
  <c r="M22" i="29"/>
  <c r="M9" i="29"/>
  <c r="B23" i="30"/>
  <c r="M10" i="30"/>
  <c r="M11" i="30"/>
  <c r="M12" i="30"/>
  <c r="M13" i="30"/>
  <c r="M14" i="30"/>
  <c r="M15" i="30"/>
  <c r="M16" i="30"/>
  <c r="M17" i="30"/>
  <c r="M18" i="30"/>
  <c r="M19" i="30"/>
  <c r="M20" i="30"/>
  <c r="M21" i="30"/>
  <c r="M22" i="30"/>
  <c r="M9" i="30"/>
  <c r="M10" i="31"/>
  <c r="M11" i="31"/>
  <c r="M12" i="31"/>
  <c r="M13" i="31"/>
  <c r="M14" i="31"/>
  <c r="M15" i="31"/>
  <c r="M16" i="31"/>
  <c r="M17" i="31"/>
  <c r="M18" i="31"/>
  <c r="M19" i="31"/>
  <c r="M20" i="31"/>
  <c r="M21" i="31"/>
  <c r="M22" i="31"/>
  <c r="M9" i="31"/>
  <c r="G10" i="35"/>
  <c r="G11" i="35"/>
  <c r="G12" i="35"/>
  <c r="G13" i="35"/>
  <c r="G14" i="35"/>
  <c r="G15" i="35"/>
  <c r="G16" i="35"/>
  <c r="G17" i="35"/>
  <c r="G18" i="35"/>
  <c r="G19" i="35"/>
  <c r="G20" i="35"/>
  <c r="G21" i="35"/>
  <c r="G22" i="35"/>
  <c r="G9" i="35"/>
  <c r="G10" i="36"/>
  <c r="G11" i="36"/>
  <c r="G12" i="36"/>
  <c r="G13" i="36"/>
  <c r="G14" i="36"/>
  <c r="G15" i="36"/>
  <c r="G16" i="36"/>
  <c r="G17" i="36"/>
  <c r="G18" i="36"/>
  <c r="G19" i="36"/>
  <c r="G20" i="36"/>
  <c r="G21" i="36"/>
  <c r="G22" i="36"/>
  <c r="G9" i="36"/>
  <c r="G10" i="37"/>
  <c r="G11" i="37"/>
  <c r="G12" i="37"/>
  <c r="G13" i="37"/>
  <c r="G14" i="37"/>
  <c r="G15" i="37"/>
  <c r="G16" i="37"/>
  <c r="G17" i="37"/>
  <c r="G18" i="37"/>
  <c r="G19" i="37"/>
  <c r="G20" i="37"/>
  <c r="G21" i="37"/>
  <c r="G22" i="37"/>
  <c r="G9" i="37"/>
  <c r="B23" i="37"/>
  <c r="F10" i="38"/>
  <c r="F11" i="38"/>
  <c r="F12" i="38"/>
  <c r="F13" i="38"/>
  <c r="F14" i="38"/>
  <c r="F15" i="38"/>
  <c r="F16" i="38"/>
  <c r="F17" i="38"/>
  <c r="F18" i="38"/>
  <c r="F19" i="38"/>
  <c r="F9" i="38"/>
  <c r="F10" i="39"/>
  <c r="F11" i="39"/>
  <c r="F12" i="39"/>
  <c r="F13" i="39"/>
  <c r="F14" i="39"/>
  <c r="F15" i="39"/>
  <c r="F16" i="39"/>
  <c r="F17" i="39"/>
  <c r="F18" i="39"/>
  <c r="F19" i="39"/>
  <c r="F9" i="39"/>
  <c r="D20" i="40"/>
  <c r="F10" i="40"/>
  <c r="F11" i="40"/>
  <c r="F12" i="40"/>
  <c r="F13" i="40"/>
  <c r="F14" i="40"/>
  <c r="F15" i="40"/>
  <c r="F16" i="40"/>
  <c r="F17" i="40"/>
  <c r="F18" i="40"/>
  <c r="F19" i="40"/>
  <c r="F9" i="40"/>
  <c r="D9" i="41"/>
  <c r="D10" i="41"/>
  <c r="D11" i="41"/>
  <c r="D12" i="41"/>
  <c r="D13" i="41"/>
  <c r="D14" i="41"/>
  <c r="D15" i="41"/>
  <c r="D16" i="41"/>
  <c r="D17" i="41"/>
  <c r="D8" i="41"/>
  <c r="D9" i="42"/>
  <c r="D10" i="42"/>
  <c r="D11" i="42"/>
  <c r="D12" i="42"/>
  <c r="D13" i="42"/>
  <c r="D14" i="42"/>
  <c r="D15" i="42"/>
  <c r="D16" i="42"/>
  <c r="D17" i="42"/>
  <c r="D8" i="42"/>
  <c r="B18" i="43"/>
  <c r="D9" i="43"/>
  <c r="D10" i="43"/>
  <c r="D11" i="43"/>
  <c r="D12" i="43"/>
  <c r="D13" i="43"/>
  <c r="D14" i="43"/>
  <c r="D15" i="43"/>
  <c r="D16" i="43"/>
  <c r="D17" i="43"/>
  <c r="D8" i="43"/>
  <c r="B17" i="44"/>
  <c r="J10" i="44"/>
  <c r="J11" i="44"/>
  <c r="J12" i="44"/>
  <c r="J13" i="44"/>
  <c r="J14" i="44"/>
  <c r="J15" i="44"/>
  <c r="J16" i="44"/>
  <c r="J9" i="44"/>
  <c r="J14" i="45"/>
  <c r="J10" i="45"/>
  <c r="J11" i="45"/>
  <c r="J12" i="45"/>
  <c r="J13" i="45"/>
  <c r="J15" i="45"/>
  <c r="J16" i="45"/>
  <c r="J9" i="45"/>
  <c r="J17" i="45" s="1"/>
  <c r="J10" i="46"/>
  <c r="J11" i="46"/>
  <c r="J12" i="46"/>
  <c r="J13" i="46"/>
  <c r="J14" i="46"/>
  <c r="J15" i="46"/>
  <c r="J16" i="46"/>
  <c r="J9" i="46"/>
  <c r="J17" i="46" s="1"/>
  <c r="M10" i="52"/>
  <c r="B23" i="52"/>
  <c r="M11" i="52"/>
  <c r="M12" i="52"/>
  <c r="M13" i="52"/>
  <c r="M14" i="52"/>
  <c r="M15" i="52"/>
  <c r="M16" i="52"/>
  <c r="M17" i="52"/>
  <c r="M18" i="52"/>
  <c r="M19" i="52"/>
  <c r="M20" i="52"/>
  <c r="M21" i="52"/>
  <c r="M22" i="52"/>
  <c r="M9" i="52"/>
  <c r="B23" i="53"/>
  <c r="M10" i="53"/>
  <c r="M11" i="53"/>
  <c r="M12" i="53"/>
  <c r="M13" i="53"/>
  <c r="M14" i="53"/>
  <c r="M15" i="53"/>
  <c r="M16" i="53"/>
  <c r="M17" i="53"/>
  <c r="M18" i="53"/>
  <c r="M19" i="53"/>
  <c r="M20" i="53"/>
  <c r="M21" i="53"/>
  <c r="M22" i="53"/>
  <c r="M9" i="53"/>
  <c r="B23" i="54"/>
  <c r="M10" i="54"/>
  <c r="M9" i="54"/>
  <c r="M23" i="54" s="1"/>
  <c r="M11" i="54"/>
  <c r="M12" i="54"/>
  <c r="M13" i="54"/>
  <c r="M14" i="54"/>
  <c r="M15" i="54"/>
  <c r="M16" i="54"/>
  <c r="M17" i="54"/>
  <c r="M18" i="54"/>
  <c r="M19" i="54"/>
  <c r="M20" i="54"/>
  <c r="M21" i="54"/>
  <c r="M22" i="54"/>
  <c r="E17" i="55"/>
  <c r="E16" i="55"/>
  <c r="K8" i="55"/>
  <c r="C17" i="56"/>
  <c r="C16" i="56"/>
  <c r="K8" i="56"/>
  <c r="N11" i="48" l="1"/>
  <c r="N20" i="48" s="1"/>
  <c r="N22" i="48" s="1"/>
  <c r="L20" i="48"/>
  <c r="L22" i="48" s="1"/>
  <c r="F20" i="73"/>
  <c r="C20" i="73"/>
  <c r="B20" i="73"/>
  <c r="G10" i="73"/>
  <c r="G11" i="73"/>
  <c r="G12" i="73"/>
  <c r="G13" i="73"/>
  <c r="G14" i="73"/>
  <c r="G15" i="73"/>
  <c r="G16" i="73"/>
  <c r="G17" i="73"/>
  <c r="G18" i="73"/>
  <c r="G19" i="73"/>
  <c r="G9" i="73"/>
  <c r="C20" i="72"/>
  <c r="B20" i="72"/>
  <c r="G10" i="72"/>
  <c r="G11" i="72"/>
  <c r="G12" i="72"/>
  <c r="G13" i="72"/>
  <c r="G14" i="72"/>
  <c r="G15" i="72"/>
  <c r="G16" i="72"/>
  <c r="G17" i="72"/>
  <c r="G18" i="72"/>
  <c r="G19" i="72"/>
  <c r="G9" i="72"/>
  <c r="G20" i="72" s="1"/>
  <c r="F20" i="71"/>
  <c r="E20" i="71"/>
  <c r="D20" i="71"/>
  <c r="C20" i="71"/>
  <c r="B20" i="71"/>
  <c r="G10" i="71"/>
  <c r="G11" i="71"/>
  <c r="G12" i="71"/>
  <c r="G13" i="71"/>
  <c r="G14" i="71"/>
  <c r="G15" i="71"/>
  <c r="G16" i="71"/>
  <c r="G17" i="71"/>
  <c r="G18" i="71"/>
  <c r="G19" i="71"/>
  <c r="G9" i="71"/>
  <c r="G20" i="71" s="1"/>
  <c r="B23" i="70"/>
  <c r="G10" i="70"/>
  <c r="G11" i="70"/>
  <c r="G12" i="70"/>
  <c r="G13" i="70"/>
  <c r="G14" i="70"/>
  <c r="G15" i="70"/>
  <c r="G16" i="70"/>
  <c r="G17" i="70"/>
  <c r="G18" i="70"/>
  <c r="G19" i="70"/>
  <c r="G20" i="70"/>
  <c r="G21" i="70"/>
  <c r="G22" i="70"/>
  <c r="G9" i="70"/>
  <c r="G23" i="70" s="1"/>
  <c r="E23" i="69"/>
  <c r="D23" i="69"/>
  <c r="C23" i="69"/>
  <c r="B23" i="69"/>
  <c r="G10" i="69"/>
  <c r="G11" i="69"/>
  <c r="G12" i="69"/>
  <c r="G13" i="69"/>
  <c r="G14" i="69"/>
  <c r="G15" i="69"/>
  <c r="G16" i="69"/>
  <c r="G17" i="69"/>
  <c r="G18" i="69"/>
  <c r="G19" i="69"/>
  <c r="G20" i="69"/>
  <c r="G21" i="69"/>
  <c r="G22" i="69"/>
  <c r="G9" i="69"/>
  <c r="G23" i="69" s="1"/>
  <c r="B23" i="68"/>
  <c r="G10" i="68"/>
  <c r="G11" i="68"/>
  <c r="G12" i="68"/>
  <c r="G13" i="68"/>
  <c r="G14" i="68"/>
  <c r="G15" i="68"/>
  <c r="G16" i="68"/>
  <c r="G17" i="68"/>
  <c r="G18" i="68"/>
  <c r="G19" i="68"/>
  <c r="G20" i="68"/>
  <c r="G21" i="68"/>
  <c r="G22" i="68"/>
  <c r="G9" i="68"/>
  <c r="G23" i="68" s="1"/>
  <c r="F21" i="76"/>
  <c r="E21" i="76"/>
  <c r="D21" i="76"/>
  <c r="C21" i="76"/>
  <c r="B21" i="76"/>
  <c r="G10" i="76"/>
  <c r="G11" i="76"/>
  <c r="G12" i="76"/>
  <c r="G13" i="76"/>
  <c r="G14" i="76"/>
  <c r="G15" i="76"/>
  <c r="G16" i="76"/>
  <c r="G17" i="76"/>
  <c r="G18" i="76"/>
  <c r="G19" i="76"/>
  <c r="G20" i="76"/>
  <c r="G9" i="76"/>
  <c r="G21" i="76" s="1"/>
  <c r="F21" i="75"/>
  <c r="E21" i="75"/>
  <c r="D21" i="75"/>
  <c r="C21" i="75"/>
  <c r="B21" i="75"/>
  <c r="G10" i="75"/>
  <c r="G11" i="75"/>
  <c r="G12" i="75"/>
  <c r="G13" i="75"/>
  <c r="G14" i="75"/>
  <c r="G15" i="75"/>
  <c r="G16" i="75"/>
  <c r="G17" i="75"/>
  <c r="G18" i="75"/>
  <c r="G19" i="75"/>
  <c r="G20" i="75"/>
  <c r="F21" i="74"/>
  <c r="E21" i="74"/>
  <c r="D21" i="74"/>
  <c r="C21" i="74"/>
  <c r="B21" i="74"/>
  <c r="G10" i="74"/>
  <c r="G11" i="74"/>
  <c r="G12" i="74"/>
  <c r="G13" i="74"/>
  <c r="G14" i="74"/>
  <c r="G15" i="74"/>
  <c r="G16" i="74"/>
  <c r="G17" i="74"/>
  <c r="G18" i="74"/>
  <c r="G19" i="74"/>
  <c r="G20" i="74"/>
  <c r="G9" i="74"/>
  <c r="G21" i="74" s="1"/>
  <c r="M9" i="88"/>
  <c r="M10" i="88"/>
  <c r="M11" i="88"/>
  <c r="M12" i="88"/>
  <c r="M13" i="88"/>
  <c r="M14" i="88"/>
  <c r="M15" i="88"/>
  <c r="M16" i="88"/>
  <c r="M17" i="88"/>
  <c r="M18" i="88"/>
  <c r="M19" i="88"/>
  <c r="M20" i="88"/>
  <c r="M21" i="88"/>
  <c r="M22" i="88"/>
  <c r="M10" i="87"/>
  <c r="M11" i="87"/>
  <c r="M12" i="87"/>
  <c r="M13" i="87"/>
  <c r="M14" i="87"/>
  <c r="M15" i="87"/>
  <c r="M16" i="87"/>
  <c r="M17" i="87"/>
  <c r="M18" i="87"/>
  <c r="M19" i="87"/>
  <c r="M20" i="87"/>
  <c r="M21" i="87"/>
  <c r="M22" i="87"/>
  <c r="M9" i="87"/>
  <c r="M10" i="86"/>
  <c r="M11" i="86"/>
  <c r="M12" i="86"/>
  <c r="M13" i="86"/>
  <c r="M14" i="86"/>
  <c r="M15" i="86"/>
  <c r="M16" i="86"/>
  <c r="M17" i="86"/>
  <c r="M18" i="86"/>
  <c r="M19" i="86"/>
  <c r="M20" i="86"/>
  <c r="M21" i="86"/>
  <c r="M22" i="86"/>
  <c r="M9" i="86"/>
  <c r="M23" i="86" s="1"/>
  <c r="B20" i="85"/>
  <c r="N10" i="85"/>
  <c r="N11" i="85"/>
  <c r="N12" i="85"/>
  <c r="N13" i="85"/>
  <c r="N14" i="85"/>
  <c r="N15" i="85"/>
  <c r="N16" i="85"/>
  <c r="N17" i="85"/>
  <c r="N18" i="85"/>
  <c r="N19" i="85"/>
  <c r="N9" i="85"/>
  <c r="N10" i="84"/>
  <c r="N20" i="84" s="1"/>
  <c r="N11" i="84"/>
  <c r="N12" i="84"/>
  <c r="N13" i="84"/>
  <c r="N14" i="84"/>
  <c r="N15" i="84"/>
  <c r="N16" i="84"/>
  <c r="N17" i="84"/>
  <c r="N18" i="84"/>
  <c r="N19" i="84"/>
  <c r="N9" i="84"/>
  <c r="N10" i="83"/>
  <c r="N11" i="83"/>
  <c r="N12" i="83"/>
  <c r="N13" i="83"/>
  <c r="N14" i="83"/>
  <c r="N15" i="83"/>
  <c r="N16" i="83"/>
  <c r="N17" i="83"/>
  <c r="N18" i="83"/>
  <c r="N19" i="83"/>
  <c r="N9" i="83"/>
  <c r="N9" i="82"/>
  <c r="N10" i="82"/>
  <c r="N11" i="82"/>
  <c r="N12" i="82"/>
  <c r="N13" i="82"/>
  <c r="N14" i="82"/>
  <c r="N15" i="82"/>
  <c r="N16" i="82"/>
  <c r="N17" i="82"/>
  <c r="N18" i="82"/>
  <c r="N19" i="82"/>
  <c r="N20" i="82"/>
  <c r="N21" i="82"/>
  <c r="N22" i="82"/>
  <c r="N9" i="81"/>
  <c r="M23" i="81"/>
  <c r="N10" i="81"/>
  <c r="N11" i="81"/>
  <c r="N12" i="81"/>
  <c r="N13" i="81"/>
  <c r="N14" i="81"/>
  <c r="N15" i="81"/>
  <c r="N16" i="81"/>
  <c r="N17" i="81"/>
  <c r="N18" i="81"/>
  <c r="N19" i="81"/>
  <c r="N20" i="81"/>
  <c r="N21" i="81"/>
  <c r="N22" i="81"/>
  <c r="B23" i="80"/>
  <c r="N10" i="80"/>
  <c r="N11" i="80"/>
  <c r="N13" i="80"/>
  <c r="N14" i="80"/>
  <c r="N15" i="80"/>
  <c r="N16" i="80"/>
  <c r="N17" i="80"/>
  <c r="N18" i="80"/>
  <c r="N19" i="80"/>
  <c r="N20" i="80"/>
  <c r="N21" i="80"/>
  <c r="N22" i="80"/>
  <c r="N9" i="80"/>
  <c r="N23" i="80" s="1"/>
  <c r="B21" i="79"/>
  <c r="G10" i="79"/>
  <c r="G11" i="79"/>
  <c r="G12" i="79"/>
  <c r="G13" i="79"/>
  <c r="G14" i="79"/>
  <c r="G15" i="79"/>
  <c r="G16" i="79"/>
  <c r="G17" i="79"/>
  <c r="G18" i="79"/>
  <c r="G19" i="79"/>
  <c r="G20" i="79"/>
  <c r="G9" i="79"/>
  <c r="G10" i="78"/>
  <c r="G11" i="78"/>
  <c r="G12" i="78"/>
  <c r="G13" i="78"/>
  <c r="G14" i="78"/>
  <c r="G15" i="78"/>
  <c r="G16" i="78"/>
  <c r="G17" i="78"/>
  <c r="G18" i="78"/>
  <c r="G19" i="78"/>
  <c r="G20" i="78"/>
  <c r="G9" i="78"/>
  <c r="B21" i="78"/>
  <c r="G10" i="77"/>
  <c r="G11" i="77"/>
  <c r="G12" i="77"/>
  <c r="G13" i="77"/>
  <c r="G14" i="77"/>
  <c r="G16" i="77"/>
  <c r="G17" i="77"/>
  <c r="G18" i="77"/>
  <c r="G19" i="77"/>
  <c r="G20" i="77"/>
  <c r="G9" i="77"/>
  <c r="B21" i="77"/>
  <c r="M10" i="93"/>
  <c r="M11" i="93"/>
  <c r="M12" i="93"/>
  <c r="M13" i="93"/>
  <c r="M14" i="93"/>
  <c r="M15" i="93"/>
  <c r="M16" i="93"/>
  <c r="M18" i="93"/>
  <c r="M19" i="93"/>
  <c r="M20" i="93"/>
  <c r="M21" i="93"/>
  <c r="M22" i="93"/>
  <c r="M9" i="93"/>
  <c r="C23" i="93"/>
  <c r="G10" i="93"/>
  <c r="G11" i="93"/>
  <c r="G12" i="93"/>
  <c r="G13" i="93"/>
  <c r="G14" i="93"/>
  <c r="G15" i="93"/>
  <c r="G16" i="93"/>
  <c r="G17" i="93"/>
  <c r="G18" i="93"/>
  <c r="G19" i="93"/>
  <c r="G20" i="93"/>
  <c r="G21" i="93"/>
  <c r="G22" i="93"/>
  <c r="G9" i="93"/>
  <c r="M10" i="115"/>
  <c r="M11" i="115"/>
  <c r="M12" i="115"/>
  <c r="M13" i="115"/>
  <c r="M14" i="115"/>
  <c r="M15" i="115"/>
  <c r="M16" i="115"/>
  <c r="M17" i="115"/>
  <c r="M18" i="115"/>
  <c r="M19" i="115"/>
  <c r="M20" i="115"/>
  <c r="M21" i="115"/>
  <c r="M22" i="115"/>
  <c r="M9" i="115"/>
  <c r="M10" i="113"/>
  <c r="M11" i="113"/>
  <c r="M12" i="113"/>
  <c r="M13" i="113"/>
  <c r="M14" i="113"/>
  <c r="M15" i="113"/>
  <c r="M16" i="113"/>
  <c r="M17" i="113"/>
  <c r="M18" i="113"/>
  <c r="M19" i="113"/>
  <c r="M20" i="113"/>
  <c r="M21" i="113"/>
  <c r="M22" i="113"/>
  <c r="M9" i="113"/>
  <c r="M23" i="113" s="1"/>
  <c r="B23" i="111"/>
  <c r="M10" i="111"/>
  <c r="M11" i="111"/>
  <c r="M12" i="111"/>
  <c r="M13" i="111"/>
  <c r="M14" i="111"/>
  <c r="M15" i="111"/>
  <c r="M16" i="111"/>
  <c r="M17" i="111"/>
  <c r="M18" i="111"/>
  <c r="M19" i="111"/>
  <c r="M20" i="111"/>
  <c r="M21" i="111"/>
  <c r="M22" i="111"/>
  <c r="M9" i="111"/>
  <c r="M23" i="111" s="1"/>
  <c r="B23" i="109"/>
  <c r="M10" i="109"/>
  <c r="M11" i="109"/>
  <c r="M12" i="109"/>
  <c r="M13" i="109"/>
  <c r="M14" i="109"/>
  <c r="M15" i="109"/>
  <c r="M16" i="109"/>
  <c r="M17" i="109"/>
  <c r="M18" i="109"/>
  <c r="M19" i="109"/>
  <c r="M20" i="109"/>
  <c r="M21" i="109"/>
  <c r="M22" i="109"/>
  <c r="M9" i="109"/>
  <c r="M10" i="107"/>
  <c r="M11" i="107"/>
  <c r="M12" i="107"/>
  <c r="M13" i="107"/>
  <c r="M14" i="107"/>
  <c r="M15" i="107"/>
  <c r="M16" i="107"/>
  <c r="M17" i="107"/>
  <c r="M23" i="107" s="1"/>
  <c r="M18" i="107"/>
  <c r="C36" i="107" s="1"/>
  <c r="M19" i="107"/>
  <c r="M20" i="107"/>
  <c r="M21" i="107"/>
  <c r="M22" i="107"/>
  <c r="M9" i="107"/>
  <c r="B23" i="107"/>
  <c r="C23" i="107"/>
  <c r="J23" i="105"/>
  <c r="U10" i="105"/>
  <c r="U11" i="105"/>
  <c r="U12" i="105"/>
  <c r="U13" i="105"/>
  <c r="U14" i="105"/>
  <c r="U15" i="105"/>
  <c r="U16" i="105"/>
  <c r="U17" i="105"/>
  <c r="U18" i="105"/>
  <c r="U19" i="105"/>
  <c r="U20" i="105"/>
  <c r="U21" i="105"/>
  <c r="U22" i="105"/>
  <c r="U9" i="105"/>
  <c r="U23" i="105" s="1"/>
  <c r="B28" i="103"/>
  <c r="B20" i="102"/>
  <c r="M20" i="102"/>
  <c r="N13" i="102"/>
  <c r="L11" i="102"/>
  <c r="N11" i="102" s="1"/>
  <c r="L12" i="102"/>
  <c r="N12" i="102" s="1"/>
  <c r="L13" i="102"/>
  <c r="L14" i="102"/>
  <c r="N14" i="102" s="1"/>
  <c r="L15" i="102"/>
  <c r="N15" i="102" s="1"/>
  <c r="L16" i="102"/>
  <c r="N16" i="102" s="1"/>
  <c r="L17" i="102"/>
  <c r="N17" i="102" s="1"/>
  <c r="L18" i="102"/>
  <c r="N18" i="102" s="1"/>
  <c r="L19" i="102"/>
  <c r="N19" i="102" s="1"/>
  <c r="L10" i="102"/>
  <c r="N10" i="102" s="1"/>
  <c r="N20" i="102" s="1"/>
  <c r="C20" i="102"/>
  <c r="D20" i="102"/>
  <c r="E20" i="102"/>
  <c r="F20" i="102"/>
  <c r="G20" i="102"/>
  <c r="H20" i="102"/>
  <c r="I20" i="102"/>
  <c r="J20" i="102"/>
  <c r="K20" i="102"/>
  <c r="N14" i="101"/>
  <c r="M20" i="101"/>
  <c r="M22" i="101" s="1"/>
  <c r="L12" i="101"/>
  <c r="N12" i="101" s="1"/>
  <c r="L13" i="101"/>
  <c r="N13" i="101" s="1"/>
  <c r="L14" i="101"/>
  <c r="L15" i="101"/>
  <c r="N15" i="101" s="1"/>
  <c r="L16" i="101"/>
  <c r="N16" i="101" s="1"/>
  <c r="L17" i="101"/>
  <c r="N17" i="101" s="1"/>
  <c r="L18" i="101"/>
  <c r="N18" i="101" s="1"/>
  <c r="L19" i="101"/>
  <c r="N19" i="101" s="1"/>
  <c r="L11" i="101"/>
  <c r="N11" i="101" s="1"/>
  <c r="L10" i="101"/>
  <c r="N10" i="101" s="1"/>
  <c r="N20" i="101" s="1"/>
  <c r="C20" i="101"/>
  <c r="D20" i="101"/>
  <c r="E20" i="101"/>
  <c r="F20" i="101"/>
  <c r="G20" i="101"/>
  <c r="H20" i="101"/>
  <c r="I20" i="101"/>
  <c r="J20" i="101"/>
  <c r="K20" i="101"/>
  <c r="B20" i="101"/>
  <c r="B22" i="101"/>
  <c r="B20" i="100"/>
  <c r="J10" i="100"/>
  <c r="J11" i="100"/>
  <c r="J12" i="100"/>
  <c r="J13" i="100"/>
  <c r="J14" i="100"/>
  <c r="J15" i="100"/>
  <c r="J16" i="100"/>
  <c r="J20" i="100" s="1"/>
  <c r="K16" i="100" s="1"/>
  <c r="J17" i="100"/>
  <c r="J18" i="100"/>
  <c r="J19" i="100"/>
  <c r="J9" i="100"/>
  <c r="I20" i="100"/>
  <c r="H20" i="100"/>
  <c r="G20" i="100"/>
  <c r="F20" i="100"/>
  <c r="E20" i="100"/>
  <c r="D20" i="100"/>
  <c r="C20" i="100"/>
  <c r="J19" i="99"/>
  <c r="B20" i="99"/>
  <c r="J10" i="99"/>
  <c r="J11" i="99"/>
  <c r="J12" i="99"/>
  <c r="J13" i="99"/>
  <c r="J14" i="99"/>
  <c r="J15" i="99"/>
  <c r="J16" i="99"/>
  <c r="J17" i="99"/>
  <c r="J18" i="99"/>
  <c r="J9" i="99"/>
  <c r="J20" i="99" s="1"/>
  <c r="K16" i="99" s="1"/>
  <c r="I20" i="99"/>
  <c r="H20" i="99"/>
  <c r="G20" i="99"/>
  <c r="F20" i="99"/>
  <c r="E20" i="99"/>
  <c r="D20" i="99"/>
  <c r="C20" i="99"/>
  <c r="J9" i="98"/>
  <c r="J20" i="98" s="1"/>
  <c r="G20" i="98"/>
  <c r="C20" i="98"/>
  <c r="D20" i="98"/>
  <c r="E20" i="98"/>
  <c r="F20" i="98"/>
  <c r="H20" i="98"/>
  <c r="I20" i="98"/>
  <c r="B20" i="98"/>
  <c r="J10" i="98"/>
  <c r="J11" i="98"/>
  <c r="J12" i="98"/>
  <c r="J13" i="98"/>
  <c r="J14" i="98"/>
  <c r="J15" i="98"/>
  <c r="J16" i="98"/>
  <c r="J17" i="98"/>
  <c r="J18" i="98"/>
  <c r="J19" i="98"/>
  <c r="J10" i="96"/>
  <c r="J11" i="96"/>
  <c r="J12" i="96"/>
  <c r="J13" i="96"/>
  <c r="J14" i="96"/>
  <c r="J15" i="96"/>
  <c r="J16" i="96"/>
  <c r="J9" i="96"/>
  <c r="B17" i="96"/>
  <c r="I17" i="96"/>
  <c r="H17" i="96"/>
  <c r="G17" i="96"/>
  <c r="F17" i="96"/>
  <c r="E17" i="96"/>
  <c r="D17" i="96"/>
  <c r="C17" i="96"/>
  <c r="J10" i="95"/>
  <c r="J11" i="95"/>
  <c r="J12" i="95"/>
  <c r="J13" i="95"/>
  <c r="J14" i="95"/>
  <c r="J15" i="95"/>
  <c r="J16" i="95"/>
  <c r="J9" i="95"/>
  <c r="E17" i="95"/>
  <c r="B17" i="95"/>
  <c r="I17" i="95"/>
  <c r="H17" i="95"/>
  <c r="G17" i="95"/>
  <c r="F17" i="95"/>
  <c r="D17" i="95"/>
  <c r="C17" i="95"/>
  <c r="J10" i="94"/>
  <c r="J9" i="94"/>
  <c r="D17" i="94"/>
  <c r="C17" i="94"/>
  <c r="B17" i="94"/>
  <c r="E17" i="94"/>
  <c r="F17" i="94"/>
  <c r="G17" i="94"/>
  <c r="H17" i="94"/>
  <c r="I17" i="94"/>
  <c r="J11" i="94"/>
  <c r="J12" i="94"/>
  <c r="J13" i="94"/>
  <c r="J14" i="94"/>
  <c r="J15" i="94"/>
  <c r="J16" i="94"/>
  <c r="H9" i="91"/>
  <c r="H10" i="91"/>
  <c r="H11" i="91"/>
  <c r="H12" i="91"/>
  <c r="H13" i="91"/>
  <c r="H8" i="91"/>
  <c r="H14" i="91" s="1"/>
  <c r="I11" i="91" s="1"/>
  <c r="B14" i="91"/>
  <c r="G14" i="91"/>
  <c r="F14" i="91"/>
  <c r="E14" i="91"/>
  <c r="D14" i="91"/>
  <c r="C14" i="91"/>
  <c r="B14" i="90"/>
  <c r="M8" i="90"/>
  <c r="M14" i="90" s="1"/>
  <c r="M9" i="90"/>
  <c r="M10" i="90"/>
  <c r="M11" i="90"/>
  <c r="M12" i="90"/>
  <c r="M13" i="90"/>
  <c r="P8" i="89"/>
  <c r="C14" i="89"/>
  <c r="P9" i="89"/>
  <c r="P10" i="89"/>
  <c r="P11" i="89"/>
  <c r="P12" i="89"/>
  <c r="P13" i="89"/>
  <c r="L21" i="142"/>
  <c r="K21" i="142"/>
  <c r="J21" i="142"/>
  <c r="B21" i="142"/>
  <c r="M10" i="142"/>
  <c r="M11" i="142"/>
  <c r="M12" i="142"/>
  <c r="M13" i="142"/>
  <c r="M14" i="142"/>
  <c r="M15" i="142"/>
  <c r="M16" i="142"/>
  <c r="M17" i="142"/>
  <c r="M18" i="142"/>
  <c r="M19" i="142"/>
  <c r="M20" i="142"/>
  <c r="M9" i="142"/>
  <c r="M21" i="142" s="1"/>
  <c r="C19" i="140"/>
  <c r="D17" i="140"/>
  <c r="E17" i="140"/>
  <c r="F17" i="140"/>
  <c r="G17" i="140"/>
  <c r="D16" i="140"/>
  <c r="D19" i="140" s="1"/>
  <c r="E16" i="140"/>
  <c r="E19" i="140" s="1"/>
  <c r="F16" i="140"/>
  <c r="F19" i="140" s="1"/>
  <c r="G16" i="140"/>
  <c r="G19" i="140" s="1"/>
  <c r="C17" i="140"/>
  <c r="C16" i="140"/>
  <c r="H9" i="140"/>
  <c r="H17" i="140" s="1"/>
  <c r="H10" i="140"/>
  <c r="H11" i="140"/>
  <c r="I11" i="140" s="1"/>
  <c r="H12" i="140"/>
  <c r="H13" i="140"/>
  <c r="H14" i="140"/>
  <c r="H15" i="140"/>
  <c r="H8" i="140"/>
  <c r="H16" i="140" s="1"/>
  <c r="I9" i="140" l="1"/>
  <c r="I17" i="140"/>
  <c r="I13" i="140"/>
  <c r="I8" i="140"/>
  <c r="H19" i="140"/>
  <c r="L20" i="102"/>
  <c r="L22" i="102" s="1"/>
  <c r="N23" i="81"/>
  <c r="I15" i="140"/>
  <c r="P14" i="89"/>
  <c r="C36" i="109"/>
  <c r="N22" i="101"/>
  <c r="L20" i="101"/>
  <c r="L22" i="101" s="1"/>
  <c r="K9" i="100"/>
  <c r="K13" i="100"/>
  <c r="K17" i="100"/>
  <c r="K10" i="100"/>
  <c r="K14" i="100"/>
  <c r="K18" i="100"/>
  <c r="K11" i="100"/>
  <c r="K15" i="100"/>
  <c r="K19" i="100"/>
  <c r="K12" i="100"/>
  <c r="K9" i="99"/>
  <c r="K10" i="99"/>
  <c r="K14" i="99"/>
  <c r="K18" i="99"/>
  <c r="K13" i="99"/>
  <c r="K17" i="99"/>
  <c r="K11" i="99"/>
  <c r="K15" i="99"/>
  <c r="K19" i="99"/>
  <c r="K12" i="99"/>
  <c r="B21" i="98"/>
  <c r="K19" i="98"/>
  <c r="K12" i="98"/>
  <c r="K16" i="98"/>
  <c r="K10" i="98"/>
  <c r="K14" i="98"/>
  <c r="K18" i="98"/>
  <c r="K9" i="98"/>
  <c r="K13" i="98"/>
  <c r="K17" i="98"/>
  <c r="K11" i="98"/>
  <c r="K15" i="98"/>
  <c r="J17" i="96"/>
  <c r="J17" i="95"/>
  <c r="J17" i="94"/>
  <c r="I8" i="91"/>
  <c r="I12" i="91"/>
  <c r="I9" i="91"/>
  <c r="I13" i="91"/>
  <c r="I10" i="91"/>
  <c r="I14" i="140"/>
  <c r="I10" i="140"/>
  <c r="I16" i="140"/>
  <c r="I12" i="140"/>
  <c r="A25" i="65"/>
  <c r="F14" i="65"/>
  <c r="E14" i="65"/>
  <c r="D14" i="65"/>
  <c r="C14" i="65"/>
  <c r="B14" i="65"/>
  <c r="G9" i="65"/>
  <c r="G10" i="65"/>
  <c r="G11" i="65"/>
  <c r="G12" i="65"/>
  <c r="G13" i="65"/>
  <c r="G8" i="65"/>
  <c r="B30" i="65" s="1"/>
  <c r="D9" i="63"/>
  <c r="D10" i="63"/>
  <c r="D11" i="63"/>
  <c r="D12" i="63"/>
  <c r="D13" i="63"/>
  <c r="D14" i="63"/>
  <c r="D15" i="63"/>
  <c r="D16" i="63"/>
  <c r="D17" i="63"/>
  <c r="D18" i="63"/>
  <c r="D19" i="63"/>
  <c r="D8" i="63"/>
  <c r="D20" i="63" s="1"/>
  <c r="F20" i="63"/>
  <c r="E20" i="63"/>
  <c r="C20" i="63"/>
  <c r="B20" i="63"/>
  <c r="G14" i="63"/>
  <c r="G15" i="63"/>
  <c r="G16" i="63"/>
  <c r="G17" i="63"/>
  <c r="G18" i="63"/>
  <c r="G19" i="63"/>
  <c r="G9" i="63"/>
  <c r="G10" i="63"/>
  <c r="G20" i="63" s="1"/>
  <c r="G11" i="63"/>
  <c r="G12" i="63"/>
  <c r="G13" i="63"/>
  <c r="G8" i="63"/>
  <c r="F29" i="154"/>
  <c r="V27" i="154"/>
  <c r="W27" i="154" s="1"/>
  <c r="C29" i="154"/>
  <c r="C28" i="154"/>
  <c r="C30" i="154" s="1"/>
  <c r="U11" i="154"/>
  <c r="U10" i="154"/>
  <c r="T29" i="154"/>
  <c r="S29" i="154"/>
  <c r="R29" i="154"/>
  <c r="Q29" i="154"/>
  <c r="P29" i="154"/>
  <c r="O29" i="154"/>
  <c r="N29" i="154"/>
  <c r="M29" i="154"/>
  <c r="L29" i="154"/>
  <c r="K29" i="154"/>
  <c r="J29" i="154"/>
  <c r="I29" i="154"/>
  <c r="H29" i="154"/>
  <c r="G29" i="154"/>
  <c r="E29" i="154"/>
  <c r="E30" i="154" s="1"/>
  <c r="D29" i="154"/>
  <c r="T28" i="154"/>
  <c r="T30" i="154" s="1"/>
  <c r="S28" i="154"/>
  <c r="S30" i="154" s="1"/>
  <c r="R28" i="154"/>
  <c r="R30" i="154" s="1"/>
  <c r="Q28" i="154"/>
  <c r="P28" i="154"/>
  <c r="P30" i="154" s="1"/>
  <c r="O28" i="154"/>
  <c r="O30" i="154" s="1"/>
  <c r="N28" i="154"/>
  <c r="N30" i="154" s="1"/>
  <c r="M28" i="154"/>
  <c r="L28" i="154"/>
  <c r="L30" i="154" s="1"/>
  <c r="K28" i="154"/>
  <c r="K30" i="154" s="1"/>
  <c r="J28" i="154"/>
  <c r="J30" i="154" s="1"/>
  <c r="I28" i="154"/>
  <c r="H28" i="154"/>
  <c r="H30" i="154" s="1"/>
  <c r="G28" i="154"/>
  <c r="G30" i="154" s="1"/>
  <c r="F28" i="154"/>
  <c r="E28" i="154"/>
  <c r="D28" i="154"/>
  <c r="D30" i="154" s="1"/>
  <c r="U27" i="154"/>
  <c r="V26" i="154"/>
  <c r="W26" i="154" s="1"/>
  <c r="U26" i="154"/>
  <c r="V25" i="154"/>
  <c r="W25" i="154" s="1"/>
  <c r="U25" i="154"/>
  <c r="V24" i="154"/>
  <c r="W24" i="154" s="1"/>
  <c r="U24" i="154"/>
  <c r="V23" i="154"/>
  <c r="W23" i="154" s="1"/>
  <c r="U23" i="154"/>
  <c r="V22" i="154"/>
  <c r="U22" i="154"/>
  <c r="V21" i="154"/>
  <c r="U21" i="154"/>
  <c r="V20" i="154"/>
  <c r="W20" i="154" s="1"/>
  <c r="U20" i="154"/>
  <c r="V19" i="154"/>
  <c r="W19" i="154" s="1"/>
  <c r="U19" i="154"/>
  <c r="V18" i="154"/>
  <c r="W18" i="154" s="1"/>
  <c r="U18" i="154"/>
  <c r="V17" i="154"/>
  <c r="W17" i="154" s="1"/>
  <c r="U17" i="154"/>
  <c r="V16" i="154"/>
  <c r="W16" i="154" s="1"/>
  <c r="U16" i="154"/>
  <c r="W15" i="154"/>
  <c r="V15" i="154"/>
  <c r="U15" i="154"/>
  <c r="V14" i="154"/>
  <c r="U14" i="154"/>
  <c r="V13" i="154"/>
  <c r="W13" i="154" s="1"/>
  <c r="U13" i="154"/>
  <c r="V12" i="154"/>
  <c r="U12" i="154"/>
  <c r="U28" i="154" s="1"/>
  <c r="V11" i="154"/>
  <c r="W11" i="154" s="1"/>
  <c r="V10" i="154"/>
  <c r="W10" i="154" s="1"/>
  <c r="L18" i="59"/>
  <c r="M18" i="59" s="1"/>
  <c r="J18" i="59"/>
  <c r="K18" i="59" s="1"/>
  <c r="I18" i="59"/>
  <c r="G18" i="59"/>
  <c r="E18" i="59"/>
  <c r="C18" i="59"/>
  <c r="I20" i="119"/>
  <c r="J10" i="119"/>
  <c r="J11" i="119"/>
  <c r="J12" i="119"/>
  <c r="J13" i="119"/>
  <c r="J14" i="119"/>
  <c r="J15" i="119"/>
  <c r="J16" i="119"/>
  <c r="J17" i="119"/>
  <c r="J18" i="119"/>
  <c r="J19" i="119"/>
  <c r="J9" i="119"/>
  <c r="J20" i="119" s="1"/>
  <c r="H21" i="119" s="1"/>
  <c r="H20" i="119"/>
  <c r="G20" i="119"/>
  <c r="F20" i="119"/>
  <c r="E20" i="119"/>
  <c r="D20" i="119"/>
  <c r="C20" i="119"/>
  <c r="B20" i="119"/>
  <c r="J19" i="118"/>
  <c r="J10" i="118"/>
  <c r="J11" i="118"/>
  <c r="J12" i="118"/>
  <c r="J13" i="118"/>
  <c r="J14" i="118"/>
  <c r="J15" i="118"/>
  <c r="J16" i="118"/>
  <c r="J17" i="118"/>
  <c r="J18" i="118"/>
  <c r="J9" i="118"/>
  <c r="C20" i="118"/>
  <c r="B20" i="118"/>
  <c r="I20" i="118"/>
  <c r="H20" i="118"/>
  <c r="G20" i="118"/>
  <c r="F20" i="118"/>
  <c r="E20" i="118"/>
  <c r="D20" i="118"/>
  <c r="I20" i="117"/>
  <c r="C20" i="117"/>
  <c r="J19" i="117"/>
  <c r="J10" i="117"/>
  <c r="J11" i="117"/>
  <c r="J12" i="117"/>
  <c r="J13" i="117"/>
  <c r="J14" i="117"/>
  <c r="J15" i="117"/>
  <c r="J16" i="117"/>
  <c r="J17" i="117"/>
  <c r="J18" i="117"/>
  <c r="J9" i="117"/>
  <c r="B20" i="117"/>
  <c r="H20" i="117"/>
  <c r="G20" i="117"/>
  <c r="F20" i="117"/>
  <c r="E20" i="117"/>
  <c r="D20" i="117"/>
  <c r="K15" i="126"/>
  <c r="K14" i="126"/>
  <c r="K13" i="126"/>
  <c r="K12" i="126"/>
  <c r="K11" i="126"/>
  <c r="K10" i="126"/>
  <c r="K9" i="126"/>
  <c r="K8" i="126"/>
  <c r="J17" i="126"/>
  <c r="J16" i="126"/>
  <c r="I17" i="126"/>
  <c r="I16" i="126"/>
  <c r="H17" i="126"/>
  <c r="H16" i="126"/>
  <c r="G17" i="126"/>
  <c r="G16" i="126"/>
  <c r="F17" i="126"/>
  <c r="F16" i="126"/>
  <c r="E17" i="126"/>
  <c r="E16" i="126"/>
  <c r="D17" i="126"/>
  <c r="D16" i="126"/>
  <c r="C17" i="126"/>
  <c r="C16" i="126"/>
  <c r="K19" i="122"/>
  <c r="G14" i="65" l="1"/>
  <c r="F15" i="65" s="1"/>
  <c r="K20" i="98"/>
  <c r="J20" i="118"/>
  <c r="W22" i="154"/>
  <c r="W12" i="154"/>
  <c r="W28" i="154" s="1"/>
  <c r="W30" i="154" s="1"/>
  <c r="I30" i="154"/>
  <c r="Q30" i="154"/>
  <c r="U29" i="154"/>
  <c r="U30" i="154" s="1"/>
  <c r="W14" i="154"/>
  <c r="W21" i="154"/>
  <c r="W29" i="154" s="1"/>
  <c r="M30" i="154"/>
  <c r="K20" i="100"/>
  <c r="K20" i="99"/>
  <c r="K14" i="96"/>
  <c r="K10" i="96"/>
  <c r="K13" i="96"/>
  <c r="K15" i="96"/>
  <c r="K16" i="96"/>
  <c r="K12" i="96"/>
  <c r="K11" i="96"/>
  <c r="K9" i="96"/>
  <c r="K13" i="95"/>
  <c r="K14" i="95"/>
  <c r="K10" i="95"/>
  <c r="K16" i="95"/>
  <c r="K12" i="95"/>
  <c r="K15" i="95"/>
  <c r="K11" i="95"/>
  <c r="K9" i="95"/>
  <c r="I14" i="91"/>
  <c r="E15" i="65"/>
  <c r="F30" i="154"/>
  <c r="V28" i="154"/>
  <c r="V29" i="154"/>
  <c r="K16" i="119"/>
  <c r="K14" i="119"/>
  <c r="K10" i="119"/>
  <c r="K19" i="119"/>
  <c r="K15" i="119"/>
  <c r="K11" i="119"/>
  <c r="K18" i="119"/>
  <c r="K17" i="119"/>
  <c r="K13" i="119"/>
  <c r="K9" i="119"/>
  <c r="K19" i="118"/>
  <c r="K15" i="118"/>
  <c r="K11" i="118"/>
  <c r="K18" i="118"/>
  <c r="K14" i="118"/>
  <c r="K10" i="118"/>
  <c r="K17" i="118"/>
  <c r="K13" i="118"/>
  <c r="K16" i="118"/>
  <c r="K12" i="118"/>
  <c r="K9" i="118"/>
  <c r="J20" i="117"/>
  <c r="K17" i="126"/>
  <c r="L11" i="126" s="1"/>
  <c r="K16" i="126"/>
  <c r="L12" i="126" s="1"/>
  <c r="K17" i="95" l="1"/>
  <c r="K18" i="117"/>
  <c r="B21" i="117"/>
  <c r="V30" i="154"/>
  <c r="K17" i="96"/>
  <c r="B15" i="65"/>
  <c r="L14" i="126"/>
  <c r="L8" i="126"/>
  <c r="D15" i="65"/>
  <c r="C15" i="65"/>
  <c r="K12" i="119"/>
  <c r="K20" i="119"/>
  <c r="K20" i="118"/>
  <c r="K19" i="117"/>
  <c r="K13" i="117"/>
  <c r="K11" i="117"/>
  <c r="K10" i="117"/>
  <c r="K17" i="117"/>
  <c r="K12" i="117"/>
  <c r="K16" i="117"/>
  <c r="K14" i="117"/>
  <c r="K9" i="117"/>
  <c r="K15" i="117"/>
  <c r="L13" i="126"/>
  <c r="L15" i="126"/>
  <c r="L9" i="126"/>
  <c r="L10" i="126"/>
  <c r="L16" i="126" l="1"/>
  <c r="G15" i="65"/>
  <c r="K20" i="117"/>
  <c r="L17" i="126"/>
  <c r="K8" i="122" l="1"/>
  <c r="K20" i="122" s="1"/>
  <c r="K18" i="122"/>
  <c r="K17" i="122"/>
  <c r="K16" i="122"/>
  <c r="K15" i="122"/>
  <c r="K14" i="122"/>
  <c r="K13" i="122"/>
  <c r="K12" i="122"/>
  <c r="K11" i="122"/>
  <c r="K10" i="122"/>
  <c r="K9" i="122"/>
  <c r="J19" i="122"/>
  <c r="J16" i="122"/>
  <c r="J17" i="122"/>
  <c r="J18" i="122"/>
  <c r="J13" i="122"/>
  <c r="J14" i="122"/>
  <c r="J15" i="122"/>
  <c r="J11" i="122"/>
  <c r="J12" i="122"/>
  <c r="J10" i="122"/>
  <c r="J9" i="122"/>
  <c r="J8" i="122"/>
  <c r="J20" i="122" s="1"/>
  <c r="I20" i="122"/>
  <c r="H20" i="122"/>
  <c r="G20" i="122"/>
  <c r="F20" i="122"/>
  <c r="E20" i="122"/>
  <c r="D20" i="122"/>
  <c r="C20" i="122"/>
  <c r="B20" i="122"/>
  <c r="D8" i="138"/>
  <c r="D9" i="138"/>
  <c r="D10" i="138"/>
  <c r="D11" i="138"/>
  <c r="D12" i="138"/>
  <c r="D13" i="138"/>
  <c r="D7" i="138"/>
  <c r="D14" i="138" s="1"/>
  <c r="D13" i="139"/>
  <c r="D12" i="139"/>
  <c r="D11" i="139"/>
  <c r="D10" i="139"/>
  <c r="D9" i="139"/>
  <c r="D8" i="139"/>
  <c r="D7" i="139"/>
  <c r="C14" i="138"/>
  <c r="B14" i="138"/>
  <c r="C14" i="139"/>
  <c r="B14" i="139"/>
  <c r="D24" i="14"/>
  <c r="D23" i="14"/>
  <c r="L17" i="59" l="1"/>
  <c r="J17" i="59"/>
  <c r="L16" i="59"/>
  <c r="J16" i="59"/>
  <c r="L15" i="59"/>
  <c r="J15" i="59"/>
  <c r="L14" i="59"/>
  <c r="J14" i="59"/>
  <c r="L13" i="59"/>
  <c r="J13" i="59"/>
  <c r="L12" i="59"/>
  <c r="J12" i="59"/>
  <c r="L11" i="59"/>
  <c r="J11" i="59"/>
  <c r="L10" i="59"/>
  <c r="J10" i="59"/>
  <c r="L9" i="59"/>
  <c r="J9" i="59"/>
  <c r="L18" i="20"/>
  <c r="M18" i="20" s="1"/>
  <c r="J18" i="20"/>
  <c r="K18" i="20" s="1"/>
  <c r="I18" i="20"/>
  <c r="G18" i="20"/>
  <c r="E18" i="20"/>
  <c r="C18" i="20"/>
  <c r="L17" i="20"/>
  <c r="J17" i="20"/>
  <c r="L16" i="20"/>
  <c r="J16" i="20"/>
  <c r="L15" i="20"/>
  <c r="J15" i="20"/>
  <c r="L14" i="20"/>
  <c r="J14" i="20"/>
  <c r="L13" i="20"/>
  <c r="J13" i="20"/>
  <c r="L12" i="20"/>
  <c r="J12" i="20"/>
  <c r="L11" i="20"/>
  <c r="J11" i="20"/>
  <c r="L10" i="20"/>
  <c r="J10" i="20"/>
  <c r="L9" i="20"/>
  <c r="J9" i="20"/>
  <c r="D14" i="139" l="1"/>
  <c r="C14" i="28"/>
  <c r="D14" i="28"/>
  <c r="E14" i="28"/>
  <c r="F14" i="28"/>
  <c r="G14" i="28"/>
  <c r="H14" i="28"/>
  <c r="I14" i="28"/>
  <c r="J14" i="28"/>
  <c r="K14" i="28"/>
  <c r="L14" i="28"/>
  <c r="M14" i="28"/>
  <c r="V27" i="153"/>
  <c r="U27" i="153"/>
  <c r="V26" i="153"/>
  <c r="U26" i="153"/>
  <c r="V25" i="153"/>
  <c r="U25" i="153"/>
  <c r="V24" i="153"/>
  <c r="W24" i="153" s="1"/>
  <c r="U24" i="153"/>
  <c r="V23" i="153"/>
  <c r="U23" i="153"/>
  <c r="W23" i="153" s="1"/>
  <c r="V22" i="153"/>
  <c r="U22" i="153"/>
  <c r="V21" i="153"/>
  <c r="U21" i="153"/>
  <c r="V20" i="153"/>
  <c r="U20" i="153"/>
  <c r="V19" i="153"/>
  <c r="U19" i="153"/>
  <c r="V18" i="153"/>
  <c r="U18" i="153"/>
  <c r="V17" i="153"/>
  <c r="U17" i="153"/>
  <c r="V16" i="153"/>
  <c r="U16" i="153"/>
  <c r="V15" i="153"/>
  <c r="U15" i="153"/>
  <c r="V14" i="153"/>
  <c r="U14" i="153"/>
  <c r="V13" i="153"/>
  <c r="U13" i="153"/>
  <c r="V12" i="153"/>
  <c r="U12" i="153"/>
  <c r="V11" i="153"/>
  <c r="U11" i="153"/>
  <c r="W22" i="153" l="1"/>
  <c r="W14" i="153"/>
  <c r="W13" i="153"/>
  <c r="W19" i="153"/>
  <c r="W21" i="153"/>
  <c r="W25" i="153"/>
  <c r="W18" i="153"/>
  <c r="W11" i="153"/>
  <c r="W15" i="153"/>
  <c r="W26" i="153"/>
  <c r="W17" i="153"/>
  <c r="W12" i="153"/>
  <c r="W27" i="153"/>
  <c r="W16" i="153"/>
  <c r="W20" i="153"/>
  <c r="C23" i="54" l="1"/>
  <c r="D23" i="54"/>
  <c r="E23" i="54"/>
  <c r="F23" i="54"/>
  <c r="G23" i="54"/>
  <c r="H23" i="54"/>
  <c r="I23" i="54"/>
  <c r="J23" i="54"/>
  <c r="K23" i="54"/>
  <c r="L23" i="54"/>
  <c r="C23" i="53"/>
  <c r="D23" i="53"/>
  <c r="E23" i="53"/>
  <c r="F23" i="53"/>
  <c r="G23" i="53"/>
  <c r="H23" i="53"/>
  <c r="I23" i="53"/>
  <c r="J23" i="53"/>
  <c r="K23" i="53"/>
  <c r="L23" i="53"/>
  <c r="M23" i="53"/>
  <c r="C23" i="52"/>
  <c r="D23" i="52"/>
  <c r="E23" i="52"/>
  <c r="F23" i="52"/>
  <c r="G23" i="52"/>
  <c r="H23" i="52"/>
  <c r="I23" i="52"/>
  <c r="J23" i="52"/>
  <c r="K23" i="52"/>
  <c r="L23" i="52"/>
  <c r="M23" i="52"/>
  <c r="C22" i="50"/>
  <c r="D22" i="50"/>
  <c r="E22" i="50"/>
  <c r="F22" i="50"/>
  <c r="G22" i="50"/>
  <c r="H22" i="50"/>
  <c r="I22" i="50"/>
  <c r="J22" i="50"/>
  <c r="K22" i="50"/>
  <c r="L22" i="50"/>
  <c r="M22" i="50"/>
  <c r="N22" i="50"/>
  <c r="C22" i="49"/>
  <c r="D22" i="49"/>
  <c r="E22" i="49"/>
  <c r="F22" i="49"/>
  <c r="G22" i="49"/>
  <c r="H22" i="49"/>
  <c r="I22" i="49"/>
  <c r="J22" i="49"/>
  <c r="K22" i="49"/>
  <c r="C22" i="48"/>
  <c r="D22" i="48"/>
  <c r="E22" i="48"/>
  <c r="F22" i="48"/>
  <c r="G22" i="48"/>
  <c r="H22" i="48"/>
  <c r="I22" i="48"/>
  <c r="J22" i="48"/>
  <c r="K22" i="48"/>
  <c r="M22" i="48"/>
  <c r="B17" i="46"/>
  <c r="C17" i="46"/>
  <c r="D17" i="46"/>
  <c r="E17" i="46"/>
  <c r="F17" i="46"/>
  <c r="G17" i="46"/>
  <c r="H17" i="46"/>
  <c r="I17" i="46"/>
  <c r="B17" i="45"/>
  <c r="C17" i="45"/>
  <c r="D17" i="45"/>
  <c r="E17" i="45"/>
  <c r="F17" i="45"/>
  <c r="G17" i="45"/>
  <c r="H17" i="45"/>
  <c r="I17" i="45"/>
  <c r="C17" i="44"/>
  <c r="D17" i="44"/>
  <c r="E17" i="44"/>
  <c r="F17" i="44"/>
  <c r="G17" i="44"/>
  <c r="H17" i="44"/>
  <c r="I17" i="44"/>
  <c r="J17" i="44"/>
  <c r="C18" i="43"/>
  <c r="D18" i="43"/>
  <c r="E18" i="43"/>
  <c r="B18" i="42"/>
  <c r="C18" i="42"/>
  <c r="D18" i="42"/>
  <c r="E18" i="42"/>
  <c r="B18" i="41"/>
  <c r="C18" i="41"/>
  <c r="D18" i="41"/>
  <c r="E18" i="41"/>
  <c r="B20" i="40"/>
  <c r="C20" i="40"/>
  <c r="E20" i="40"/>
  <c r="F20" i="40"/>
  <c r="B20" i="39"/>
  <c r="C20" i="39"/>
  <c r="D20" i="39"/>
  <c r="E20" i="39"/>
  <c r="F20" i="39"/>
  <c r="B20" i="38"/>
  <c r="C20" i="38"/>
  <c r="D20" i="38"/>
  <c r="E20" i="38"/>
  <c r="F20" i="38"/>
  <c r="C23" i="37"/>
  <c r="D23" i="37"/>
  <c r="E23" i="37"/>
  <c r="F23" i="37"/>
  <c r="G23" i="37"/>
  <c r="B23" i="36"/>
  <c r="C23" i="36"/>
  <c r="D23" i="36"/>
  <c r="E23" i="36"/>
  <c r="F23" i="36"/>
  <c r="G23" i="36"/>
  <c r="B23" i="35"/>
  <c r="C23" i="35"/>
  <c r="D23" i="35"/>
  <c r="E23" i="35"/>
  <c r="F23" i="35"/>
  <c r="G23" i="35"/>
  <c r="B23" i="34"/>
  <c r="C23" i="34"/>
  <c r="D23" i="34"/>
  <c r="E23" i="34"/>
  <c r="F23" i="34"/>
  <c r="G23" i="34"/>
  <c r="B23" i="33"/>
  <c r="C23" i="33"/>
  <c r="D23" i="33"/>
  <c r="E23" i="33"/>
  <c r="F23" i="33"/>
  <c r="G23" i="33"/>
  <c r="B23" i="32"/>
  <c r="C23" i="32"/>
  <c r="D23" i="32"/>
  <c r="E23" i="32"/>
  <c r="F23" i="32"/>
  <c r="G23" i="32"/>
  <c r="B23" i="31"/>
  <c r="C23" i="31"/>
  <c r="D23" i="31"/>
  <c r="E23" i="31"/>
  <c r="F23" i="31"/>
  <c r="G23" i="31"/>
  <c r="H23" i="31"/>
  <c r="I23" i="31"/>
  <c r="J23" i="31"/>
  <c r="K23" i="31"/>
  <c r="L23" i="31"/>
  <c r="M23" i="31"/>
  <c r="C23" i="30"/>
  <c r="D23" i="30"/>
  <c r="E23" i="30"/>
  <c r="F23" i="30"/>
  <c r="G23" i="30"/>
  <c r="H23" i="30"/>
  <c r="I23" i="30"/>
  <c r="J23" i="30"/>
  <c r="K23" i="30"/>
  <c r="L23" i="30"/>
  <c r="M23" i="30"/>
  <c r="C23" i="29"/>
  <c r="D23" i="29"/>
  <c r="E23" i="29"/>
  <c r="F23" i="29"/>
  <c r="G23" i="29"/>
  <c r="H23" i="29"/>
  <c r="I23" i="29"/>
  <c r="J23" i="29"/>
  <c r="K23" i="29"/>
  <c r="L23" i="29"/>
  <c r="M23" i="29"/>
  <c r="C14" i="27"/>
  <c r="D14" i="27"/>
  <c r="E14" i="27"/>
  <c r="F14" i="27"/>
  <c r="G14" i="27"/>
  <c r="H14" i="27"/>
  <c r="I14" i="27"/>
  <c r="J14" i="27"/>
  <c r="K14" i="27"/>
  <c r="L14" i="27"/>
  <c r="M14" i="27"/>
  <c r="N14" i="27"/>
  <c r="O14" i="27"/>
  <c r="P14" i="27"/>
  <c r="B19" i="24"/>
  <c r="C19" i="24"/>
  <c r="D19" i="24"/>
  <c r="E19" i="24"/>
  <c r="F19" i="24"/>
  <c r="G19" i="24"/>
  <c r="G14" i="25"/>
  <c r="F14" i="25"/>
  <c r="E14" i="25"/>
  <c r="D14" i="25"/>
  <c r="C14" i="25"/>
  <c r="D28" i="153" l="1"/>
  <c r="E28" i="153"/>
  <c r="F28" i="153"/>
  <c r="G28" i="153"/>
  <c r="H28" i="153"/>
  <c r="I28" i="153"/>
  <c r="J28" i="153"/>
  <c r="K28" i="153"/>
  <c r="L28" i="153"/>
  <c r="M28" i="153"/>
  <c r="N28" i="153"/>
  <c r="O28" i="153"/>
  <c r="P28" i="153"/>
  <c r="Q28" i="153"/>
  <c r="R28" i="153"/>
  <c r="S28" i="153"/>
  <c r="T28" i="153"/>
  <c r="B40" i="50" l="1"/>
  <c r="C34" i="50"/>
  <c r="B34" i="50"/>
  <c r="C33" i="50"/>
  <c r="B33" i="50"/>
  <c r="C32" i="50"/>
  <c r="B32" i="50"/>
  <c r="C31" i="50"/>
  <c r="B31" i="50"/>
  <c r="C30" i="50"/>
  <c r="B30" i="50"/>
  <c r="C29" i="50"/>
  <c r="B29" i="50"/>
  <c r="C28" i="50"/>
  <c r="B28" i="50"/>
  <c r="C43" i="50"/>
  <c r="B43" i="50"/>
  <c r="C42" i="50"/>
  <c r="B42" i="50"/>
  <c r="C41" i="50"/>
  <c r="B41" i="50"/>
  <c r="C40" i="50"/>
  <c r="B40" i="103"/>
  <c r="B34" i="103"/>
  <c r="B33" i="103"/>
  <c r="B32" i="103"/>
  <c r="B31" i="103"/>
  <c r="B30" i="103"/>
  <c r="B29" i="103"/>
  <c r="B43" i="103"/>
  <c r="B42" i="103"/>
  <c r="B41" i="103"/>
  <c r="B44" i="50" l="1"/>
  <c r="B35" i="50" s="1"/>
  <c r="B36" i="50" s="1"/>
  <c r="C44" i="50"/>
  <c r="C35" i="50" s="1"/>
  <c r="C36" i="50" s="1"/>
  <c r="D36" i="50" l="1"/>
  <c r="C29" i="153"/>
  <c r="C30" i="153" s="1"/>
  <c r="T29" i="153" l="1"/>
  <c r="T30" i="153" s="1"/>
  <c r="S29" i="153"/>
  <c r="S30" i="153" s="1"/>
  <c r="R29" i="153"/>
  <c r="R30" i="153" s="1"/>
  <c r="Q29" i="153"/>
  <c r="Q30" i="153" s="1"/>
  <c r="P29" i="153"/>
  <c r="P30" i="153" s="1"/>
  <c r="O29" i="153"/>
  <c r="O30" i="153" s="1"/>
  <c r="N29" i="153"/>
  <c r="N30" i="153" s="1"/>
  <c r="M29" i="153"/>
  <c r="M30" i="153" s="1"/>
  <c r="L29" i="153"/>
  <c r="L30" i="153" s="1"/>
  <c r="K29" i="153"/>
  <c r="K30" i="153" s="1"/>
  <c r="J29" i="153"/>
  <c r="J30" i="153" s="1"/>
  <c r="I29" i="153"/>
  <c r="I30" i="153" s="1"/>
  <c r="H29" i="153"/>
  <c r="H30" i="153" s="1"/>
  <c r="G29" i="153"/>
  <c r="G30" i="153" s="1"/>
  <c r="F29" i="153"/>
  <c r="F30" i="153" s="1"/>
  <c r="E29" i="153"/>
  <c r="E30" i="153" s="1"/>
  <c r="D29" i="153"/>
  <c r="D30" i="153" s="1"/>
  <c r="V29" i="153"/>
  <c r="U28" i="153" l="1"/>
  <c r="U29" i="153"/>
  <c r="V28" i="153"/>
  <c r="V30" i="153" s="1"/>
  <c r="U30" i="153" l="1"/>
  <c r="W28" i="153"/>
  <c r="W29" i="153"/>
  <c r="W30" i="153" l="1"/>
  <c r="C22" i="103"/>
  <c r="C31" i="103" s="1"/>
  <c r="D22" i="103"/>
  <c r="C32" i="103" s="1"/>
  <c r="E22" i="103"/>
  <c r="C28" i="103" s="1"/>
  <c r="G22" i="103"/>
  <c r="C42" i="103" s="1"/>
  <c r="J22" i="103"/>
  <c r="C29" i="103" s="1"/>
  <c r="K22" i="103"/>
  <c r="C43" i="103" s="1"/>
  <c r="M22" i="103"/>
  <c r="C34" i="103" s="1"/>
  <c r="B22" i="103"/>
  <c r="C33" i="103" s="1"/>
  <c r="F22" i="103"/>
  <c r="C30" i="103" s="1"/>
  <c r="H22" i="103"/>
  <c r="C40" i="103" s="1"/>
  <c r="I22" i="103"/>
  <c r="C41" i="103" s="1"/>
  <c r="N22" i="103" l="1"/>
  <c r="L22" i="103"/>
  <c r="B28" i="96" l="1"/>
  <c r="B22" i="91"/>
  <c r="B25" i="65"/>
  <c r="C27" i="63"/>
  <c r="B28" i="63"/>
  <c r="B27" i="63"/>
  <c r="C41" i="115"/>
  <c r="C32" i="115"/>
  <c r="N22" i="111" l="1"/>
  <c r="N18" i="111"/>
  <c r="N14" i="111"/>
  <c r="N10" i="111"/>
  <c r="N21" i="111"/>
  <c r="N17" i="111"/>
  <c r="N13" i="111"/>
  <c r="N9" i="111"/>
  <c r="N23" i="111" s="1"/>
  <c r="N20" i="111"/>
  <c r="N16" i="111"/>
  <c r="N12" i="111"/>
  <c r="N19" i="111"/>
  <c r="N15" i="111"/>
  <c r="N11" i="111"/>
  <c r="A26" i="65"/>
  <c r="E25" i="65"/>
  <c r="D25" i="65"/>
  <c r="C25" i="65"/>
  <c r="C28" i="96"/>
  <c r="I21" i="142" l="1"/>
  <c r="J23" i="93" l="1"/>
  <c r="H23" i="93"/>
  <c r="I23" i="80"/>
  <c r="C21" i="77"/>
  <c r="H16" i="56"/>
  <c r="D16" i="56"/>
  <c r="F17" i="55"/>
  <c r="D17" i="55"/>
  <c r="I16" i="55"/>
  <c r="C22" i="102" l="1"/>
  <c r="D22" i="102"/>
  <c r="E22" i="102"/>
  <c r="F22" i="102"/>
  <c r="G22" i="102"/>
  <c r="H22" i="102"/>
  <c r="I22" i="102"/>
  <c r="J22" i="102"/>
  <c r="K22" i="102"/>
  <c r="M22" i="102"/>
  <c r="N22" i="102"/>
  <c r="B22" i="102"/>
  <c r="J22" i="101" l="1"/>
  <c r="K22" i="101"/>
  <c r="L20" i="85" l="1"/>
  <c r="F23" i="77"/>
  <c r="C21" i="142" l="1"/>
  <c r="D21" i="142"/>
  <c r="E21" i="142"/>
  <c r="F21" i="142"/>
  <c r="G21" i="142"/>
  <c r="H21" i="142"/>
  <c r="C21" i="79" l="1"/>
  <c r="D21" i="79"/>
  <c r="E21" i="79"/>
  <c r="F21" i="79"/>
  <c r="C21" i="78"/>
  <c r="D21" i="78"/>
  <c r="E21" i="78"/>
  <c r="F21" i="78"/>
  <c r="D21" i="77"/>
  <c r="E21" i="77"/>
  <c r="G21" i="75"/>
  <c r="M23" i="109"/>
  <c r="C23" i="109"/>
  <c r="D23" i="109"/>
  <c r="E23" i="109"/>
  <c r="F23" i="109"/>
  <c r="G23" i="109"/>
  <c r="H23" i="109"/>
  <c r="I23" i="109"/>
  <c r="J23" i="109"/>
  <c r="K23" i="109"/>
  <c r="B36" i="109" s="1"/>
  <c r="L23" i="109"/>
  <c r="K23" i="105"/>
  <c r="L23" i="105"/>
  <c r="M23" i="105"/>
  <c r="N23" i="105"/>
  <c r="O23" i="105"/>
  <c r="P23" i="105"/>
  <c r="Q23" i="105"/>
  <c r="R23" i="105"/>
  <c r="S23" i="105"/>
  <c r="T23" i="105"/>
  <c r="G22" i="75" l="1"/>
  <c r="H20" i="75"/>
  <c r="H16" i="75"/>
  <c r="H12" i="75"/>
  <c r="H14" i="75"/>
  <c r="H13" i="75"/>
  <c r="H19" i="75"/>
  <c r="H15" i="75"/>
  <c r="H11" i="75"/>
  <c r="H18" i="75"/>
  <c r="H10" i="75"/>
  <c r="H17" i="75"/>
  <c r="H9" i="75"/>
  <c r="G22" i="74"/>
  <c r="H20" i="74"/>
  <c r="H19" i="74"/>
  <c r="H15" i="74"/>
  <c r="H11" i="74"/>
  <c r="H13" i="74"/>
  <c r="H12" i="74"/>
  <c r="H18" i="74"/>
  <c r="H14" i="74"/>
  <c r="H10" i="74"/>
  <c r="H17" i="74"/>
  <c r="H9" i="74"/>
  <c r="H16" i="74"/>
  <c r="C22" i="75"/>
  <c r="D22" i="75"/>
  <c r="F22" i="75"/>
  <c r="E22" i="74"/>
  <c r="D22" i="74"/>
  <c r="C22" i="74"/>
  <c r="F22" i="74"/>
  <c r="E22" i="75"/>
  <c r="G21" i="79"/>
  <c r="G21" i="78"/>
  <c r="G22" i="79" l="1"/>
  <c r="H20" i="79"/>
  <c r="H16" i="79"/>
  <c r="H12" i="79"/>
  <c r="H18" i="79"/>
  <c r="H10" i="79"/>
  <c r="H17" i="79"/>
  <c r="H13" i="79"/>
  <c r="H9" i="79"/>
  <c r="H19" i="79"/>
  <c r="H15" i="79"/>
  <c r="H11" i="79"/>
  <c r="H14" i="79"/>
  <c r="G22" i="78"/>
  <c r="H20" i="78"/>
  <c r="H16" i="78"/>
  <c r="H12" i="78"/>
  <c r="H19" i="78"/>
  <c r="H15" i="78"/>
  <c r="H11" i="78"/>
  <c r="H18" i="78"/>
  <c r="H14" i="78"/>
  <c r="H10" i="78"/>
  <c r="H17" i="78"/>
  <c r="H13" i="78"/>
  <c r="H9" i="78"/>
  <c r="D22" i="79"/>
  <c r="F22" i="79"/>
  <c r="E22" i="79"/>
  <c r="C22" i="79"/>
  <c r="D22" i="78"/>
  <c r="E22" i="78"/>
  <c r="F22" i="78"/>
  <c r="C22" i="78"/>
  <c r="G21" i="77"/>
  <c r="H13" i="77" s="1"/>
  <c r="F20" i="72"/>
  <c r="H19" i="71" l="1"/>
  <c r="H15" i="71"/>
  <c r="H11" i="71"/>
  <c r="H13" i="71"/>
  <c r="H12" i="71"/>
  <c r="H18" i="71"/>
  <c r="H14" i="71"/>
  <c r="H10" i="71"/>
  <c r="H17" i="71"/>
  <c r="H9" i="71"/>
  <c r="H16" i="71"/>
  <c r="H22" i="69"/>
  <c r="H18" i="69"/>
  <c r="H14" i="69"/>
  <c r="H10" i="69"/>
  <c r="H16" i="69"/>
  <c r="H19" i="69"/>
  <c r="H11" i="69"/>
  <c r="H21" i="69"/>
  <c r="H17" i="69"/>
  <c r="H13" i="69"/>
  <c r="H9" i="69"/>
  <c r="H20" i="69"/>
  <c r="H12" i="69"/>
  <c r="H15" i="69"/>
  <c r="H20" i="76"/>
  <c r="H16" i="76"/>
  <c r="H12" i="76"/>
  <c r="H14" i="76"/>
  <c r="H13" i="76"/>
  <c r="H19" i="76"/>
  <c r="H15" i="76"/>
  <c r="H11" i="76"/>
  <c r="H18" i="76"/>
  <c r="H10" i="76"/>
  <c r="H17" i="76"/>
  <c r="H9" i="76"/>
  <c r="H18" i="77"/>
  <c r="H14" i="77"/>
  <c r="H10" i="77"/>
  <c r="H16" i="77"/>
  <c r="H12" i="77"/>
  <c r="H15" i="77"/>
  <c r="H17" i="77"/>
  <c r="H9" i="77"/>
  <c r="H20" i="77"/>
  <c r="H19" i="77"/>
  <c r="H11" i="77"/>
  <c r="G22" i="77"/>
  <c r="C22" i="77"/>
  <c r="F22" i="77"/>
  <c r="E22" i="77"/>
  <c r="D22" i="77"/>
  <c r="D22" i="76"/>
  <c r="C22" i="76"/>
  <c r="E22" i="76"/>
  <c r="F22" i="76"/>
  <c r="B22" i="76"/>
  <c r="E26" i="65" l="1"/>
  <c r="F23" i="70"/>
  <c r="F23" i="69"/>
  <c r="F23" i="68"/>
  <c r="H9" i="65" l="1"/>
  <c r="H8" i="65"/>
  <c r="C44" i="103" l="1"/>
  <c r="C35" i="103" s="1"/>
  <c r="C22" i="101"/>
  <c r="D22" i="101"/>
  <c r="E22" i="101"/>
  <c r="F22" i="101"/>
  <c r="G22" i="101"/>
  <c r="H22" i="101"/>
  <c r="I22" i="101"/>
  <c r="C36" i="103" l="1"/>
  <c r="B23" i="126" l="1"/>
  <c r="K38" i="105"/>
  <c r="K29" i="105"/>
  <c r="B44" i="103" l="1"/>
  <c r="B35" i="103" s="1"/>
  <c r="B36" i="103" s="1"/>
  <c r="C26" i="65"/>
  <c r="B26" i="65"/>
  <c r="I9" i="41"/>
  <c r="J8" i="41"/>
  <c r="J9" i="41"/>
  <c r="I8" i="41"/>
  <c r="D36" i="103" l="1"/>
  <c r="N20" i="83"/>
  <c r="M20" i="83"/>
  <c r="L20" i="83"/>
  <c r="K20" i="83"/>
  <c r="J20" i="83"/>
  <c r="I20" i="83"/>
  <c r="H20" i="83"/>
  <c r="G20" i="83"/>
  <c r="F20" i="83"/>
  <c r="E20" i="83"/>
  <c r="D20" i="83"/>
  <c r="C20" i="83"/>
  <c r="B20" i="83"/>
  <c r="M20" i="84"/>
  <c r="L20" i="84"/>
  <c r="K20" i="84"/>
  <c r="J20" i="84"/>
  <c r="I20" i="84"/>
  <c r="H20" i="84"/>
  <c r="G20" i="84"/>
  <c r="F20" i="84"/>
  <c r="E20" i="84"/>
  <c r="D20" i="84"/>
  <c r="C20" i="84"/>
  <c r="B20" i="84"/>
  <c r="G20" i="73"/>
  <c r="E20" i="73"/>
  <c r="D20" i="73"/>
  <c r="H19" i="73" l="1"/>
  <c r="H15" i="73"/>
  <c r="H11" i="73"/>
  <c r="H17" i="73"/>
  <c r="H16" i="73"/>
  <c r="H18" i="73"/>
  <c r="H14" i="73"/>
  <c r="H10" i="73"/>
  <c r="H13" i="73"/>
  <c r="H9" i="73"/>
  <c r="H12" i="73"/>
  <c r="B22" i="75"/>
  <c r="H20" i="73" l="1"/>
  <c r="H21" i="75"/>
  <c r="H20" i="71"/>
  <c r="B22" i="78" l="1"/>
  <c r="H21" i="78" l="1"/>
  <c r="C26" i="46"/>
  <c r="C27" i="46"/>
  <c r="C30" i="46"/>
  <c r="C31" i="46"/>
  <c r="K16" i="46"/>
  <c r="I18" i="45"/>
  <c r="K10" i="44"/>
  <c r="F24" i="35"/>
  <c r="C24" i="33"/>
  <c r="C26" i="126"/>
  <c r="B26" i="126"/>
  <c r="C25" i="126"/>
  <c r="B25" i="126"/>
  <c r="C24" i="126"/>
  <c r="B24" i="126"/>
  <c r="C23" i="126"/>
  <c r="E24" i="14"/>
  <c r="E25" i="14"/>
  <c r="E26" i="14"/>
  <c r="E27" i="14"/>
  <c r="E28" i="14"/>
  <c r="E29" i="14"/>
  <c r="E30" i="14"/>
  <c r="E31" i="14"/>
  <c r="E32" i="14"/>
  <c r="E23" i="14"/>
  <c r="K10" i="46"/>
  <c r="K11" i="46"/>
  <c r="K9" i="46"/>
  <c r="K9" i="45"/>
  <c r="K17" i="45"/>
  <c r="I23" i="81"/>
  <c r="F23" i="80"/>
  <c r="I18" i="46"/>
  <c r="C18" i="46"/>
  <c r="B18" i="46"/>
  <c r="F24" i="32"/>
  <c r="K15" i="56"/>
  <c r="K10" i="56"/>
  <c r="B27" i="56" s="1"/>
  <c r="K9" i="56"/>
  <c r="C26" i="56" s="1"/>
  <c r="C42" i="115"/>
  <c r="C40" i="115"/>
  <c r="C39" i="115"/>
  <c r="C38" i="115"/>
  <c r="C37" i="115"/>
  <c r="C36" i="115"/>
  <c r="C35" i="115"/>
  <c r="C34" i="115"/>
  <c r="C33" i="115"/>
  <c r="C42" i="113"/>
  <c r="C41" i="113"/>
  <c r="C33" i="113"/>
  <c r="C34" i="113"/>
  <c r="C35" i="113"/>
  <c r="C36" i="113"/>
  <c r="C37" i="113"/>
  <c r="C38" i="113"/>
  <c r="C39" i="113"/>
  <c r="C40" i="113"/>
  <c r="C32" i="113"/>
  <c r="C42" i="111"/>
  <c r="C32" i="111"/>
  <c r="C33" i="46"/>
  <c r="B27" i="46"/>
  <c r="B28" i="46"/>
  <c r="B29" i="46"/>
  <c r="B30" i="46"/>
  <c r="B31" i="46"/>
  <c r="B32" i="46"/>
  <c r="B33" i="46"/>
  <c r="B26" i="46"/>
  <c r="E24" i="32" l="1"/>
  <c r="E24" i="34"/>
  <c r="F24" i="34"/>
  <c r="D24" i="34"/>
  <c r="D18" i="44"/>
  <c r="D24" i="32"/>
  <c r="F18" i="44"/>
  <c r="G18" i="45"/>
  <c r="H18" i="46"/>
  <c r="E24" i="35"/>
  <c r="H18" i="45"/>
  <c r="C18" i="44"/>
  <c r="B24" i="34"/>
  <c r="B21" i="39"/>
  <c r="K11" i="44"/>
  <c r="C24" i="32"/>
  <c r="C24" i="34"/>
  <c r="B24" i="36"/>
  <c r="B21" i="38"/>
  <c r="F18" i="45"/>
  <c r="B18" i="45"/>
  <c r="K13" i="46"/>
  <c r="B24" i="35"/>
  <c r="B18" i="44"/>
  <c r="C18" i="45"/>
  <c r="D18" i="46"/>
  <c r="K12" i="46"/>
  <c r="C24" i="35"/>
  <c r="F18" i="46"/>
  <c r="K14" i="46"/>
  <c r="B24" i="33"/>
  <c r="B24" i="37"/>
  <c r="D18" i="45"/>
  <c r="E18" i="46"/>
  <c r="C32" i="46"/>
  <c r="G18" i="46"/>
  <c r="K15" i="46"/>
  <c r="B24" i="32"/>
  <c r="D24" i="35"/>
  <c r="E18" i="45"/>
  <c r="K12" i="44"/>
  <c r="E18" i="44"/>
  <c r="K14" i="44"/>
  <c r="C29" i="46"/>
  <c r="G18" i="44"/>
  <c r="C28" i="46"/>
  <c r="I18" i="44"/>
  <c r="K16" i="44"/>
  <c r="K13" i="44"/>
  <c r="K15" i="44"/>
  <c r="H18" i="44"/>
  <c r="K9" i="44"/>
  <c r="C43" i="115"/>
  <c r="C43" i="113"/>
  <c r="A32" i="14"/>
  <c r="B32" i="14"/>
  <c r="C32" i="14"/>
  <c r="D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C24" i="14"/>
  <c r="B24" i="14"/>
  <c r="A24" i="14"/>
  <c r="C23" i="14"/>
  <c r="B23" i="14"/>
  <c r="A23" i="14"/>
  <c r="D23" i="115"/>
  <c r="B34" i="115" s="1"/>
  <c r="E23" i="115"/>
  <c r="B35" i="115" s="1"/>
  <c r="F23" i="115"/>
  <c r="B36" i="115" s="1"/>
  <c r="G23" i="115"/>
  <c r="H23" i="115"/>
  <c r="B38" i="115" s="1"/>
  <c r="I23" i="115"/>
  <c r="B39" i="115" s="1"/>
  <c r="J23" i="115"/>
  <c r="B40" i="115" s="1"/>
  <c r="K23" i="115"/>
  <c r="B41" i="115" s="1"/>
  <c r="L23" i="115"/>
  <c r="B42" i="115" s="1"/>
  <c r="M23" i="115"/>
  <c r="C23" i="115"/>
  <c r="B33" i="115" s="1"/>
  <c r="B23" i="115"/>
  <c r="B32" i="115" s="1"/>
  <c r="C23" i="113"/>
  <c r="B33" i="113" s="1"/>
  <c r="D23" i="113"/>
  <c r="E23" i="113"/>
  <c r="F23" i="113"/>
  <c r="G23" i="113"/>
  <c r="H23" i="113"/>
  <c r="I23" i="113"/>
  <c r="J23" i="113"/>
  <c r="K23" i="113"/>
  <c r="B41" i="113" s="1"/>
  <c r="L23" i="113"/>
  <c r="B42" i="113" s="1"/>
  <c r="C23" i="111"/>
  <c r="D23" i="111"/>
  <c r="E23" i="111"/>
  <c r="F23" i="111"/>
  <c r="G23" i="111"/>
  <c r="H23" i="111"/>
  <c r="I23" i="111"/>
  <c r="J23" i="111"/>
  <c r="K23" i="111"/>
  <c r="L23" i="111"/>
  <c r="B42" i="111" s="1"/>
  <c r="B23" i="93"/>
  <c r="D23" i="93"/>
  <c r="E23" i="93"/>
  <c r="F23" i="93"/>
  <c r="I23" i="93"/>
  <c r="K23" i="93"/>
  <c r="L23" i="93"/>
  <c r="M23" i="93"/>
  <c r="G23" i="93"/>
  <c r="C22" i="91"/>
  <c r="C14" i="90"/>
  <c r="D14" i="90"/>
  <c r="E14" i="90"/>
  <c r="F14" i="90"/>
  <c r="G14" i="90"/>
  <c r="H14" i="90"/>
  <c r="I14" i="90"/>
  <c r="J14" i="90"/>
  <c r="K14" i="90"/>
  <c r="L14" i="90"/>
  <c r="B14" i="89"/>
  <c r="D14" i="89"/>
  <c r="E14" i="89"/>
  <c r="F14" i="89"/>
  <c r="G14" i="89"/>
  <c r="H14" i="89"/>
  <c r="I14" i="89"/>
  <c r="J14" i="89"/>
  <c r="K14" i="89"/>
  <c r="L14" i="89"/>
  <c r="M14" i="89"/>
  <c r="N14" i="89"/>
  <c r="O14" i="89"/>
  <c r="G23" i="88"/>
  <c r="B23" i="88"/>
  <c r="J23" i="88"/>
  <c r="F23" i="88"/>
  <c r="K23" i="88"/>
  <c r="C23" i="88"/>
  <c r="I23" i="88"/>
  <c r="E23" i="88"/>
  <c r="L23" i="88"/>
  <c r="H23" i="88"/>
  <c r="D23" i="88"/>
  <c r="M23" i="88"/>
  <c r="B23" i="87"/>
  <c r="C23" i="87"/>
  <c r="D23" i="87"/>
  <c r="E23" i="87"/>
  <c r="F23" i="87"/>
  <c r="G23" i="87"/>
  <c r="H23" i="87"/>
  <c r="I23" i="87"/>
  <c r="J23" i="87"/>
  <c r="K23" i="87"/>
  <c r="L23" i="87"/>
  <c r="M23" i="87"/>
  <c r="B23" i="86"/>
  <c r="C23" i="86"/>
  <c r="D23" i="86"/>
  <c r="E23" i="86"/>
  <c r="F23" i="86"/>
  <c r="G23" i="86"/>
  <c r="H23" i="86"/>
  <c r="I23" i="86"/>
  <c r="J23" i="86"/>
  <c r="K23" i="86"/>
  <c r="L23" i="86"/>
  <c r="G20" i="85"/>
  <c r="H20" i="85"/>
  <c r="C20" i="85"/>
  <c r="J20" i="85"/>
  <c r="F20" i="85"/>
  <c r="K20" i="85"/>
  <c r="D20" i="85"/>
  <c r="M20" i="85"/>
  <c r="I20" i="85"/>
  <c r="E20" i="85"/>
  <c r="N20" i="85"/>
  <c r="E23" i="82"/>
  <c r="H23" i="82"/>
  <c r="L23" i="82"/>
  <c r="D23" i="82"/>
  <c r="M23" i="82"/>
  <c r="I23" i="82"/>
  <c r="J23" i="82"/>
  <c r="F23" i="82"/>
  <c r="B23" i="82"/>
  <c r="K23" i="82"/>
  <c r="G23" i="82"/>
  <c r="C23" i="82"/>
  <c r="B23" i="81"/>
  <c r="C23" i="81"/>
  <c r="D23" i="81"/>
  <c r="E23" i="81"/>
  <c r="F23" i="81"/>
  <c r="G23" i="81"/>
  <c r="H23" i="81"/>
  <c r="J23" i="81"/>
  <c r="K23" i="81"/>
  <c r="L23" i="81"/>
  <c r="C23" i="80"/>
  <c r="D23" i="80"/>
  <c r="E23" i="80"/>
  <c r="G23" i="80"/>
  <c r="H23" i="80"/>
  <c r="J23" i="80"/>
  <c r="K23" i="80"/>
  <c r="L23" i="80"/>
  <c r="M23" i="80"/>
  <c r="B22" i="77"/>
  <c r="D20" i="72"/>
  <c r="E20" i="72"/>
  <c r="C23" i="70"/>
  <c r="E23" i="70"/>
  <c r="D23" i="70"/>
  <c r="C23" i="68"/>
  <c r="D23" i="68"/>
  <c r="E23" i="68"/>
  <c r="B26" i="56"/>
  <c r="H14" i="25"/>
  <c r="H19" i="72" l="1"/>
  <c r="H15" i="72"/>
  <c r="H11" i="72"/>
  <c r="H13" i="72"/>
  <c r="H12" i="72"/>
  <c r="H18" i="72"/>
  <c r="H14" i="72"/>
  <c r="H10" i="72"/>
  <c r="H17" i="72"/>
  <c r="H9" i="72"/>
  <c r="H16" i="72"/>
  <c r="H22" i="70"/>
  <c r="H18" i="70"/>
  <c r="H14" i="70"/>
  <c r="H10" i="70"/>
  <c r="H15" i="70"/>
  <c r="H21" i="70"/>
  <c r="H17" i="70"/>
  <c r="H13" i="70"/>
  <c r="H9" i="70"/>
  <c r="H11" i="70"/>
  <c r="H20" i="70"/>
  <c r="H16" i="70"/>
  <c r="H12" i="70"/>
  <c r="H19" i="70"/>
  <c r="N22" i="115"/>
  <c r="N18" i="115"/>
  <c r="N14" i="115"/>
  <c r="N10" i="115"/>
  <c r="N16" i="115"/>
  <c r="N12" i="115"/>
  <c r="N15" i="115"/>
  <c r="N21" i="115"/>
  <c r="N17" i="115"/>
  <c r="N13" i="115"/>
  <c r="N9" i="115"/>
  <c r="N20" i="115"/>
  <c r="N19" i="115"/>
  <c r="N11" i="115"/>
  <c r="N20" i="113"/>
  <c r="N16" i="113"/>
  <c r="N12" i="113"/>
  <c r="N19" i="113"/>
  <c r="N15" i="113"/>
  <c r="N11" i="113"/>
  <c r="N22" i="113"/>
  <c r="N18" i="113"/>
  <c r="N14" i="113"/>
  <c r="N10" i="113"/>
  <c r="N21" i="113"/>
  <c r="N17" i="113"/>
  <c r="N13" i="113"/>
  <c r="N9" i="113"/>
  <c r="G24" i="34"/>
  <c r="I8" i="25"/>
  <c r="I11" i="25"/>
  <c r="B15" i="25"/>
  <c r="B22" i="74"/>
  <c r="D15" i="25"/>
  <c r="G24" i="32"/>
  <c r="F15" i="25"/>
  <c r="J18" i="45"/>
  <c r="F24" i="113"/>
  <c r="G24" i="35"/>
  <c r="K17" i="46"/>
  <c r="J18" i="44"/>
  <c r="J18" i="46"/>
  <c r="K17" i="44"/>
  <c r="C15" i="25"/>
  <c r="B21" i="119"/>
  <c r="B21" i="118"/>
  <c r="B37" i="115"/>
  <c r="B43" i="115" s="1"/>
  <c r="G24" i="115"/>
  <c r="G15" i="25"/>
  <c r="E15" i="25"/>
  <c r="I9" i="25"/>
  <c r="B23" i="113"/>
  <c r="B32" i="113" s="1"/>
  <c r="K11" i="45"/>
  <c r="K12" i="45"/>
  <c r="K13" i="45"/>
  <c r="K14" i="45"/>
  <c r="K15" i="45"/>
  <c r="K16" i="45"/>
  <c r="B32" i="111" l="1"/>
  <c r="B24" i="111"/>
  <c r="K10" i="45"/>
  <c r="B34" i="46"/>
  <c r="N23" i="113" l="1"/>
  <c r="C34" i="46"/>
  <c r="B21" i="40"/>
  <c r="C21" i="40"/>
  <c r="D21" i="40"/>
  <c r="E21" i="40"/>
  <c r="C21" i="39"/>
  <c r="D21" i="39"/>
  <c r="E21" i="39"/>
  <c r="C21" i="38"/>
  <c r="D21" i="38"/>
  <c r="C24" i="37"/>
  <c r="D24" i="37"/>
  <c r="F24" i="37"/>
  <c r="C24" i="36"/>
  <c r="D24" i="36"/>
  <c r="F24" i="36"/>
  <c r="E21" i="38"/>
  <c r="E24" i="36"/>
  <c r="F21" i="40"/>
  <c r="F21" i="38"/>
  <c r="E24" i="37" l="1"/>
  <c r="F21" i="39"/>
  <c r="D24" i="33"/>
  <c r="F24" i="33"/>
  <c r="E24" i="33"/>
  <c r="C35" i="119" l="1"/>
  <c r="C31" i="119"/>
  <c r="C33" i="119"/>
  <c r="C39" i="119"/>
  <c r="C41" i="119"/>
  <c r="B31" i="119"/>
  <c r="B32" i="119"/>
  <c r="B33" i="119"/>
  <c r="B35" i="119"/>
  <c r="B36" i="119"/>
  <c r="B37" i="119"/>
  <c r="B39" i="119"/>
  <c r="B40" i="119"/>
  <c r="B41" i="119"/>
  <c r="B35" i="113"/>
  <c r="B37" i="113"/>
  <c r="B38" i="113"/>
  <c r="B39" i="113"/>
  <c r="C34" i="111"/>
  <c r="C36" i="111"/>
  <c r="C38" i="111"/>
  <c r="B33" i="111"/>
  <c r="B34" i="111"/>
  <c r="B36" i="111"/>
  <c r="B38" i="111"/>
  <c r="B39" i="111"/>
  <c r="B40" i="111"/>
  <c r="B41" i="111"/>
  <c r="B35" i="111"/>
  <c r="B37" i="111"/>
  <c r="C40" i="111"/>
  <c r="C28" i="109"/>
  <c r="C29" i="109"/>
  <c r="C30" i="109"/>
  <c r="C33" i="109"/>
  <c r="B27" i="109"/>
  <c r="B28" i="109"/>
  <c r="B29" i="109"/>
  <c r="B30" i="109"/>
  <c r="B31" i="109"/>
  <c r="B32" i="109"/>
  <c r="B33" i="109"/>
  <c r="B34" i="109"/>
  <c r="B35" i="109"/>
  <c r="C27" i="109"/>
  <c r="C31" i="109"/>
  <c r="C32" i="109"/>
  <c r="C34" i="109"/>
  <c r="C35" i="109"/>
  <c r="C32" i="107"/>
  <c r="C33" i="107"/>
  <c r="D23" i="107"/>
  <c r="B29" i="107" s="1"/>
  <c r="E23" i="107"/>
  <c r="B30" i="107" s="1"/>
  <c r="F23" i="107"/>
  <c r="B31" i="107" s="1"/>
  <c r="G23" i="107"/>
  <c r="B32" i="107" s="1"/>
  <c r="H23" i="107"/>
  <c r="B33" i="107" s="1"/>
  <c r="I23" i="107"/>
  <c r="B34" i="107" s="1"/>
  <c r="J23" i="107"/>
  <c r="B35" i="107" s="1"/>
  <c r="K23" i="107"/>
  <c r="B36" i="107" s="1"/>
  <c r="L23" i="107"/>
  <c r="C27" i="107"/>
  <c r="C29" i="107"/>
  <c r="C30" i="107"/>
  <c r="C31" i="107"/>
  <c r="C34" i="107"/>
  <c r="C35" i="107"/>
  <c r="K31" i="105"/>
  <c r="K32" i="105"/>
  <c r="K33" i="105"/>
  <c r="K37" i="105"/>
  <c r="J30" i="105"/>
  <c r="J31" i="105"/>
  <c r="J32" i="105"/>
  <c r="J33" i="105"/>
  <c r="J34" i="105"/>
  <c r="J35" i="105"/>
  <c r="J36" i="105"/>
  <c r="J37" i="105"/>
  <c r="J38" i="105"/>
  <c r="K30" i="105"/>
  <c r="K34" i="105"/>
  <c r="K35" i="105"/>
  <c r="K36" i="105"/>
  <c r="B25" i="91"/>
  <c r="B26" i="91"/>
  <c r="C23" i="91"/>
  <c r="C24" i="91"/>
  <c r="C25" i="91"/>
  <c r="C26" i="91"/>
  <c r="C27" i="91"/>
  <c r="B23" i="91"/>
  <c r="B24" i="91"/>
  <c r="B27" i="91"/>
  <c r="B31" i="65"/>
  <c r="B32" i="65"/>
  <c r="B34" i="65"/>
  <c r="D26" i="65"/>
  <c r="B35" i="65"/>
  <c r="C28" i="63"/>
  <c r="B29" i="63"/>
  <c r="C29" i="63"/>
  <c r="B30" i="63"/>
  <c r="C30" i="63"/>
  <c r="B31" i="63"/>
  <c r="C31" i="63"/>
  <c r="B32" i="63"/>
  <c r="C32" i="63"/>
  <c r="B33" i="63"/>
  <c r="C33" i="63"/>
  <c r="B34" i="63"/>
  <c r="C34" i="63"/>
  <c r="B35" i="63"/>
  <c r="C35" i="63"/>
  <c r="B36" i="63"/>
  <c r="C36" i="63"/>
  <c r="B37" i="63"/>
  <c r="C37" i="63"/>
  <c r="B38" i="63"/>
  <c r="C38" i="63"/>
  <c r="K11" i="56"/>
  <c r="C27" i="56" s="1"/>
  <c r="K12" i="56"/>
  <c r="K13" i="56"/>
  <c r="K14" i="56"/>
  <c r="B29" i="56" s="1"/>
  <c r="C29" i="56"/>
  <c r="E16" i="56"/>
  <c r="F16" i="56"/>
  <c r="G16" i="56"/>
  <c r="I16" i="56"/>
  <c r="J16" i="56"/>
  <c r="D17" i="56"/>
  <c r="E17" i="56"/>
  <c r="F17" i="56"/>
  <c r="G17" i="56"/>
  <c r="H17" i="56"/>
  <c r="I17" i="56"/>
  <c r="J17" i="56"/>
  <c r="K9" i="55"/>
  <c r="K10" i="55"/>
  <c r="K11" i="55"/>
  <c r="K12" i="55"/>
  <c r="K13" i="55"/>
  <c r="K14" i="55"/>
  <c r="K15" i="55"/>
  <c r="C16" i="55"/>
  <c r="D16" i="55"/>
  <c r="F16" i="55"/>
  <c r="G16" i="55"/>
  <c r="H16" i="55"/>
  <c r="J16" i="55"/>
  <c r="C17" i="55"/>
  <c r="G17" i="55"/>
  <c r="H17" i="55"/>
  <c r="I17" i="55"/>
  <c r="J17" i="55"/>
  <c r="B37" i="109" l="1"/>
  <c r="K14" i="94"/>
  <c r="K10" i="94"/>
  <c r="K13" i="94"/>
  <c r="K9" i="94"/>
  <c r="K16" i="94"/>
  <c r="K12" i="94"/>
  <c r="K15" i="94"/>
  <c r="K11" i="94"/>
  <c r="B40" i="63"/>
  <c r="C40" i="63"/>
  <c r="K17" i="56"/>
  <c r="K16" i="56"/>
  <c r="L14" i="56" s="1"/>
  <c r="K16" i="55"/>
  <c r="L8" i="55" s="1"/>
  <c r="K17" i="55"/>
  <c r="L15" i="55" s="1"/>
  <c r="C28" i="56"/>
  <c r="B28" i="56"/>
  <c r="K39" i="105"/>
  <c r="B18" i="94"/>
  <c r="B43" i="111"/>
  <c r="H15" i="25"/>
  <c r="I12" i="25"/>
  <c r="I10" i="25"/>
  <c r="I13" i="25"/>
  <c r="C33" i="96"/>
  <c r="B34" i="96"/>
  <c r="B21" i="99"/>
  <c r="H21" i="99"/>
  <c r="G21" i="99"/>
  <c r="B32" i="96"/>
  <c r="C29" i="96"/>
  <c r="E21" i="118"/>
  <c r="G24" i="33"/>
  <c r="B30" i="96"/>
  <c r="B34" i="113"/>
  <c r="C32" i="96"/>
  <c r="B28" i="91"/>
  <c r="I21" i="99"/>
  <c r="H21" i="117"/>
  <c r="C37" i="109"/>
  <c r="I18" i="94"/>
  <c r="E21" i="99"/>
  <c r="G21" i="117"/>
  <c r="I21" i="117"/>
  <c r="E21" i="117"/>
  <c r="H15" i="91"/>
  <c r="F18" i="94"/>
  <c r="B31" i="96"/>
  <c r="F21" i="117"/>
  <c r="C37" i="119"/>
  <c r="B33" i="65"/>
  <c r="D18" i="94"/>
  <c r="B33" i="96"/>
  <c r="C21" i="99"/>
  <c r="B36" i="113"/>
  <c r="C21" i="117"/>
  <c r="B38" i="119"/>
  <c r="B34" i="119"/>
  <c r="L11" i="56"/>
  <c r="H18" i="94"/>
  <c r="C34" i="96"/>
  <c r="B35" i="96"/>
  <c r="D21" i="99"/>
  <c r="B40" i="113"/>
  <c r="D21" i="117"/>
  <c r="C40" i="119"/>
  <c r="C38" i="119"/>
  <c r="C36" i="119"/>
  <c r="C34" i="119"/>
  <c r="C32" i="119"/>
  <c r="C41" i="111"/>
  <c r="C39" i="111"/>
  <c r="C37" i="111"/>
  <c r="C35" i="111"/>
  <c r="C33" i="111"/>
  <c r="C28" i="107"/>
  <c r="F21" i="99"/>
  <c r="C35" i="96"/>
  <c r="C31" i="96"/>
  <c r="E18" i="94"/>
  <c r="G18" i="94"/>
  <c r="C18" i="94"/>
  <c r="C28" i="91"/>
  <c r="G24" i="36"/>
  <c r="L10" i="56" l="1"/>
  <c r="L8" i="56"/>
  <c r="L12" i="56"/>
  <c r="L15" i="56"/>
  <c r="L9" i="56"/>
  <c r="L13" i="56"/>
  <c r="L14" i="55"/>
  <c r="L12" i="55"/>
  <c r="L10" i="55"/>
  <c r="L9" i="55"/>
  <c r="L11" i="55"/>
  <c r="L13" i="55"/>
  <c r="C21" i="98"/>
  <c r="B18" i="95"/>
  <c r="B37" i="65"/>
  <c r="B43" i="113"/>
  <c r="C43" i="111"/>
  <c r="F15" i="91"/>
  <c r="D15" i="91"/>
  <c r="B15" i="91"/>
  <c r="E15" i="91"/>
  <c r="C15" i="91"/>
  <c r="G15" i="91"/>
  <c r="C21" i="118"/>
  <c r="F21" i="118"/>
  <c r="D21" i="118"/>
  <c r="I21" i="118"/>
  <c r="J21" i="117"/>
  <c r="C24" i="113"/>
  <c r="L24" i="113"/>
  <c r="J24" i="113"/>
  <c r="I24" i="113"/>
  <c r="H24" i="113"/>
  <c r="D24" i="113"/>
  <c r="K24" i="113"/>
  <c r="E24" i="113"/>
  <c r="B24" i="113"/>
  <c r="G24" i="113"/>
  <c r="I24" i="111"/>
  <c r="C37" i="107"/>
  <c r="J21" i="99"/>
  <c r="G21" i="98"/>
  <c r="I21" i="98"/>
  <c r="F21" i="98"/>
  <c r="E21" i="98"/>
  <c r="H21" i="98"/>
  <c r="D21" i="98"/>
  <c r="J18" i="94"/>
  <c r="K17" i="94"/>
  <c r="H20" i="72"/>
  <c r="H23" i="69"/>
  <c r="H13" i="65"/>
  <c r="H10" i="65"/>
  <c r="H12" i="65"/>
  <c r="H11" i="65"/>
  <c r="I14" i="25"/>
  <c r="B42" i="119"/>
  <c r="C42" i="119"/>
  <c r="E21" i="100"/>
  <c r="N23" i="82"/>
  <c r="H21" i="118"/>
  <c r="G21" i="118"/>
  <c r="B29" i="96"/>
  <c r="B36" i="96" s="1"/>
  <c r="F18" i="95"/>
  <c r="E18" i="95"/>
  <c r="D18" i="95"/>
  <c r="I18" i="95"/>
  <c r="G18" i="95"/>
  <c r="C18" i="95"/>
  <c r="H18" i="95"/>
  <c r="L24" i="111"/>
  <c r="F24" i="111"/>
  <c r="J24" i="111"/>
  <c r="C24" i="111"/>
  <c r="G24" i="111"/>
  <c r="K24" i="111"/>
  <c r="H24" i="111"/>
  <c r="E24" i="111"/>
  <c r="D24" i="111"/>
  <c r="C30" i="96"/>
  <c r="H21" i="77" l="1"/>
  <c r="L16" i="55"/>
  <c r="L17" i="56"/>
  <c r="L16" i="56"/>
  <c r="L17" i="55"/>
  <c r="C36" i="96"/>
  <c r="B18" i="96"/>
  <c r="C21" i="100"/>
  <c r="J21" i="118"/>
  <c r="M24" i="113"/>
  <c r="M24" i="111"/>
  <c r="J21" i="98"/>
  <c r="I21" i="100"/>
  <c r="H21" i="100"/>
  <c r="F21" i="100"/>
  <c r="J18" i="95"/>
  <c r="H21" i="74"/>
  <c r="H14" i="65"/>
  <c r="E24" i="115"/>
  <c r="D24" i="115"/>
  <c r="J24" i="115"/>
  <c r="I24" i="115"/>
  <c r="K24" i="115"/>
  <c r="B22" i="79"/>
  <c r="F24" i="115"/>
  <c r="H24" i="115"/>
  <c r="L24" i="115"/>
  <c r="G21" i="100"/>
  <c r="D42" i="119"/>
  <c r="D18" i="96"/>
  <c r="C24" i="115"/>
  <c r="I21" i="119"/>
  <c r="I18" i="96"/>
  <c r="F18" i="96"/>
  <c r="B24" i="115"/>
  <c r="G21" i="119"/>
  <c r="G18" i="96"/>
  <c r="H18" i="96"/>
  <c r="E18" i="96"/>
  <c r="C18" i="96"/>
  <c r="B21" i="100"/>
  <c r="D21" i="100"/>
  <c r="C21" i="119"/>
  <c r="E21" i="119"/>
  <c r="D21" i="119"/>
  <c r="F21" i="119"/>
  <c r="H21" i="79" l="1"/>
  <c r="N23" i="115"/>
  <c r="H21" i="76"/>
  <c r="J21" i="119"/>
  <c r="M24" i="115"/>
  <c r="J21" i="100"/>
  <c r="J18" i="96"/>
  <c r="G22" i="76"/>
  <c r="H23" i="70"/>
  <c r="G24" i="37"/>
  <c r="H21" i="68" l="1"/>
  <c r="H17" i="68"/>
  <c r="H13" i="68"/>
  <c r="H9" i="68"/>
  <c r="H15" i="68"/>
  <c r="H11" i="68"/>
  <c r="H22" i="68"/>
  <c r="H14" i="68"/>
  <c r="H20" i="68"/>
  <c r="H16" i="68"/>
  <c r="H12" i="68"/>
  <c r="H19" i="68"/>
  <c r="H18" i="68"/>
  <c r="H10" i="68"/>
  <c r="H23" i="68" l="1"/>
  <c r="J29" i="105" l="1"/>
  <c r="J39" i="105" s="1"/>
  <c r="B28" i="107"/>
  <c r="B27" i="107"/>
  <c r="B37" i="107" l="1"/>
</calcChain>
</file>

<file path=xl/connections.xml><?xml version="1.0" encoding="utf-8"?>
<connections xmlns="http://schemas.openxmlformats.org/spreadsheetml/2006/main">
  <connection id="1" name="(Default) XLS_TAB_1" type="1" refreshedVersion="4" savePassword="1" saveData="1">
    <dbPr connection="DSN=VITAL_DB;UID=md_qry;PWD=md4421;SERVER=dev;" command="SELECT   X.YEAR_AR ,_x000d__x000a_         X.M_QTRI_COUNT,_x000d__x000a_         X.M_QTRI_PSG,_x000d__x000a_         X.M_NQTRI_COUNT,_x000d__x000a_         X.M_NQTRI_PSG,_x000d__x000a_         X.M_QTRI_TOT_COUNT,_x000d__x000a_         X.M_QTRI_TOT_PSG,_x000d__x000a_         X.D_QTRI_COUNT,_x000d__x000a_         X.D_QTRI_PSG,_x000d__x000a_         X.D_NQTRI_COUNT,_x000d__x000a_         X.D_NQTRI_PSG,_x000d__x000a_         X.D_QTRI_TOT_COUNT,_x000d__x000a_         X.D_QTRI_TOT_PSG ,_x000d__x000a_         X.YEAR_ENG_x000d__x000a_  FROM   MIGRATE.XLS_TAB_1 X _x000d__x000a_  where X.BULLTEN_YEAR=?_x000d__x000a_ORDER BY X.ROW_ORDER"/>
    <parameters count="1">
      <parameter name="Parameter1" parameterType="cell" refreshOnChange="1" cell="Sheet1!$B$1"/>
    </parameters>
  </connection>
  <connection id="2" name="(Default) XLS_TAB_10" type="1" refreshedVersion="4" minRefreshableVersion="3" savePassword="1" saveData="1">
    <dbPr connection="DSN=VITAL_DB;UID=md_qry;PWD=md4421;SERVER=DEV;" command="SELECT   _x000d__x000a_           X.NAT_DESC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NAT_DESC_ENG          _x000d__x000a_    FROM   XLS_TAB_10 X_x000d__x000a_   WHERE   X.BULLTEN_YEAR = ?_x000d__x000a_ORDER BY   X.ROW_ORDER"/>
    <parameters count="1">
      <parameter name="Parameter1" parameterType="cell" refreshOnChange="1" cell="Sheet1!$B$1"/>
    </parameters>
  </connection>
  <connection id="3" name="(Default) XLS_TAB_11_1"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1_x000d__x000a_ORDER BY   X.ROW_ORDER"/>
    <parameters count="1">
      <parameter name="Parameter1" parameterType="cell" refreshOnChange="1" cell="Sheet1!$B$1"/>
    </parameters>
  </connection>
  <connection id="4" name="(Default) XLS_TAB_11_2" type="1" refreshedVersion="4"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2_x000d__x000a_ORDER BY   X.ROW_ORDER"/>
    <parameters count="1">
      <parameter name="Parameter1" parameterType="cell" refreshOnChange="1" cell="Sheet1!$B$1"/>
    </parameters>
  </connection>
  <connection id="5" name="(Default) XLS_TAB_11_3"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3_x000d__x000a_ORDER BY   X.ROW_ORDER"/>
    <parameters count="1">
      <parameter name="Parameter1" parameterType="cell" refreshOnChange="1" cell="Sheet1!$B$1"/>
    </parameters>
  </connection>
  <connection id="6" name="(Default) XLS_TAB_12_1"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1_x000d__x000a_ORDER BY   X.ROW_ORDER"/>
    <parameters count="1">
      <parameter name="Parameter1" parameterType="cell" refreshOnChange="1" cell="Sheet1!$B$1"/>
    </parameters>
  </connection>
  <connection id="7" name="(Default) XLS_TAB_12_2"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2_x000d__x000a_ORDER BY   X.ROW_ORDER"/>
    <parameters count="1">
      <parameter name="Parameter1" parameterType="cell" refreshOnChange="1" cell="Sheet1!$B$1"/>
    </parameters>
  </connection>
  <connection id="8" name="(Default) XLS_TAB_12_3"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3_x000d__x000a_ORDER BY   X.ROW_ORDER"/>
    <parameters count="1">
      <parameter name="Parameter1" parameterType="cell" refreshOnChange="1" cell="Sheet1!$B$1"/>
    </parameters>
  </connection>
  <connection id="9" name="(Default) XLS_TAB_13_1" type="1" refreshedVersion="4" minRefreshableVersion="3"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 1_x000d__x000a_ORDER BY   X.ROW_ORDER"/>
    <parameters count="1">
      <parameter name="Parameter1" parameterType="cell" refreshOnChange="1" cell="Sheet1!$B$1"/>
    </parameters>
  </connection>
  <connection id="10" name="(Default) XLS_TAB_13_2" type="1" refreshedVersion="4" minRefreshableVersion="3"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2_x000d__x000a_ORDER BY   X.ROW_ORDER"/>
    <parameters count="1">
      <parameter name="Parameter1" parameterType="cell" refreshOnChange="1" cell="Sheet1!$B$1"/>
    </parameters>
  </connection>
  <connection id="11" name="(Default) XLS_TAB_13_3" type="1" refreshedVersion="4"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 3_x000d__x000a_ORDER BY   X.ROW_ORDER"/>
    <parameters count="1">
      <parameter name="Parameter1" parameterType="cell" refreshOnChange="1" cell="Sheet1!$B$1"/>
    </parameters>
  </connection>
  <connection id="12" name="(Default) XLS_TAB_14_1"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 1_x000d__x000a_ORDER BY   X.ROW_ORDER"/>
    <parameters count="1">
      <parameter name="Parameter1" parameterType="cell" refreshOnChange="1" cell="Sheet1!$B$1"/>
    </parameters>
  </connection>
  <connection id="13" name="(Default) XLS_TAB_14_2"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2_x000d__x000a_ORDER BY   X.ROW_ORDER"/>
    <parameters count="1">
      <parameter name="Parameter1" parameterType="cell" refreshOnChange="1" cell="Sheet1!$B$1"/>
    </parameters>
  </connection>
  <connection id="14" name="(Default) XLS_TAB_14_3"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3_x000d__x000a_ORDER BY   X.ROW_ORDER"/>
    <parameters count="1">
      <parameter name="Parameter1" parameterType="cell" refreshOnChange="1" cell="Sheet1!$B$1"/>
    </parameters>
  </connection>
  <connection id="15" name="(Default) XLS_TAB_15_1"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 1_x000d__x000a_ORDER BY   X.ROW_ORDER"/>
    <parameters count="1">
      <parameter name="Parameter1" parameterType="cell" refreshOnChange="1" cell="Sheet1!$B$1"/>
    </parameters>
  </connection>
  <connection id="16" name="(Default) XLS_TAB_15_2"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 2_x000d__x000a_ORDER BY   X.ROW_ORDER"/>
    <parameters count="1">
      <parameter name="Parameter1" parameterType="cell" refreshOnChange="1" cell="Sheet1!$B$1"/>
    </parameters>
  </connection>
  <connection id="17" name="(Default) XLS_TAB_15_3"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3_x000d__x000a_ORDER BY   X.ROW_ORDER"/>
    <parameters count="1">
      <parameter name="Parameter1" parameterType="cell" refreshOnChange="1" cell="Sheet1!$B$1"/>
    </parameters>
  </connection>
  <connection id="18" name="(Default) XLS_TAB_16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1_x000d__x000a_  ORDER BY X.ROW_ORDER"/>
    <parameters count="1">
      <parameter name="Parameter1" parameterType="cell" refreshOnChange="1" cell="Sheet1!$B$1"/>
    </parameters>
  </connection>
  <connection id="19" name="(Default) XLS_TAB_16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2_x000d__x000a_  ORDER BY X.ROW_ORDER"/>
    <parameters count="1">
      <parameter name="Parameter1" parameterType="cell" refreshOnChange="1" cell="Sheet1!$B$1"/>
    </parameters>
  </connection>
  <connection id="20" name="(Default) XLS_TAB_16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3_x000d__x000a_  ORDER BY X.ROW_ORDER"/>
    <parameters count="1">
      <parameter name="Parameter1" parameterType="cell" refreshOnChange="1" cell="Sheet1!$B$1"/>
    </parameters>
  </connection>
  <connection id="21" name="(Default) XLS_TAB_17_1"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 1_x000d__x000a_ORDER BY   X.ROW_ORDER"/>
    <parameters count="1">
      <parameter name="Parameter1" parameterType="cell" refreshOnChange="1" cell="Sheet1!$B$1"/>
    </parameters>
  </connection>
  <connection id="22" name="(Default) XLS_TAB_17_2"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 2_x000d__x000a_ORDER BY   X.ROW_ORDER"/>
    <parameters count="1">
      <parameter name="Parameter1" parameterType="cell" refreshOnChange="1" cell="Sheet1!$B$1"/>
    </parameters>
  </connection>
  <connection id="23" name="(Default) XLS_TAB_17_3"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3_x000d__x000a_ORDER BY   X.ROW_ORDER"/>
    <parameters count="1">
      <parameter name="Parameter1" parameterType="cell" refreshOnChange="1" cell="Sheet1!$B$1"/>
    </parameters>
  </connection>
  <connection id="24" name="(Default) XLS_TAB_18_1"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 1_x000d__x000a_ORDER BY   X.ROW_ORDER"/>
    <parameters count="1">
      <parameter name="Parameter1" parameterType="cell" refreshOnChange="1" cell="Sheet1!$B$1"/>
    </parameters>
  </connection>
  <connection id="25" name="(Default) XLS_TAB_18_2"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2_x000d__x000a_ORDER BY   X.ROW_ORDER"/>
    <parameters count="1">
      <parameter name="Parameter1" parameterType="cell" refreshOnChange="1" cell="Sheet1!$B$1"/>
    </parameters>
  </connection>
  <connection id="26" name="(Default) XLS_TAB_18_3"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3_x000d__x000a_ORDER BY   X.ROW_ORDER"/>
    <parameters count="1">
      <parameter name="Parameter1" parameterType="cell" refreshOnChange="1" cell="Sheet1!$B$1"/>
    </parameters>
  </connection>
  <connection id="27" name="(Default) XLS_TAB_19"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FROM   MIGRATE.XLS_TAB_19 X_x000d__x000a_   WHERE   X.BULLTEN_YEAR = ? _x000d__x000a_ORDER BY   X.ROW_ORDER,X.CASES_SONS"/>
    <parameters count="1">
      <parameter name="Parameter1" parameterType="cell" refreshOnChange="1" cell="Sheet1!$B$1"/>
    </parameters>
  </connection>
  <connection id="28" name="(Default) XLS_TAB_2" type="1" refreshedVersion="4" minRefreshableVersion="3" savePassword="1" saveData="1">
    <dbPr connection="DSN=VITAL_DB;UID=md_qry;PWD=md4421;SERVER=dev;" command="SELECT _x000d__x000a_X.YEAR_AR, X.M_QTRI_COUNT, X.M_NQTRI_COUNT, _x000d__x000a_   X.M_QTRI_TOT_COUNT, X.M_QTRI_W_COUNT , X.M_NQTRI_W_COUNT , X.M_QTRI_TOT_COUNT ,X.D_QTRI_COUNT, X.D_NQTRI_COUNT, _x000d__x000a_   X.D_QTRI_TOT_COUNT, X.D_QTRI_W_COUNT, X.D_NQTRI_W_COUNT,   X.D_QTRI_TOT_COUNT,X.YEAR_ENG _x000d__x000a_FROM XLS_TAB_2 X where X.BULLTEN_YEAR=?  AND X.YEAR_ENG BETWEEN  X.BULLTEN_YEAR - 5 AND X.BULLTEN_YEAR - 1"/>
    <parameters count="1">
      <parameter name="Parameter1" parameterType="cell" refreshOnChange="1" cell="Sheet1!$B$1"/>
    </parameters>
  </connection>
  <connection id="29" name="(Default) XLS_TAB_20"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FROM  XLS_TAB_20 X_x000d__x000a_   WHERE   X.BULLTEN_YEAR = ?_x000d__x000a_ORDER BY   X.ROW_ORDER, X.CASES_SONS"/>
    <parameters count="1">
      <parameter name="Parameter1" parameterType="cell" refreshOnChange="1" cell="Sheet1!$B$1"/>
    </parameters>
  </connection>
  <connection id="30" name="(Default) XLS_TAB_23" type="1" refreshedVersion="4" minRefreshableVersion="3" savePassword="1" saveData="1">
    <dbPr connection="DSN=VITAL_DB;UID=md_qry;PWD=md4421;SERVER=DEV;" command="SELECT   X.M_QTRI_COUNT,_x000d__x000a_           X.M_NQTRI_COUNT,_x000d__x000a_           X.M_QTRI_TOT_COUNT,_x000d__x000a_           X.W_QTRI_COUNT,_x000d__x000a_           X.W_NQTRI_COUNT,_x000d__x000a_           X.W_QTRI_TOT_COUNT_x000d__x000a_    FROM   XLS_TAB_23 X_x000d__x000a_   WHERE   X.BULLTEN_YEAR = ?_x000d__x000a_ORDER BY   X.ROW_ORDER"/>
    <parameters count="1">
      <parameter name="Parameter1" parameterType="cell" refreshOnChange="1" cell="'C:\Users\ayoussef\Desktop\[الزواج والطلاق 2019 نسخة المنصوري.xlsx]Sheet1'!$B$1"/>
    </parameters>
  </connection>
  <connection id="31" name="(Default) XLS_TAB_24"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4 X_x000d__x000a_   WHERE   X.BULLTEN_YEAR = ?_x000d__x000a_ORDER BY   X.ROW_ORDER"/>
    <parameters count="1">
      <parameter name="Parameter1" parameterType="cell" refreshOnChange="1" cell="'C:\Users\ayoussef\Desktop\[الزواج والطلاق 2019 نسخة المنصوري.xlsx]Sheet1'!$B$1"/>
    </parameters>
  </connection>
  <connection id="32" name="(Default) XLS_TAB_25_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1_x000d__x000a_   ORDER BY   X.ROW_ORDER"/>
    <parameters count="1">
      <parameter name="Parameter1" parameterType="cell" refreshOnChange="1" cell="'C:\Users\ayoussef\Desktop\[الزواج والطلاق 2019 نسخة المنصوري.xlsx]Sheet1'!$B$1"/>
    </parameters>
  </connection>
  <connection id="33" name="(Default) XLS_TAB_25_2"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2_x000d__x000a_   ORDER BY   X.ROW_ORDER"/>
    <parameters count="1">
      <parameter name="Parameter1" parameterType="cell" refreshOnChange="1" cell="'C:\Users\ayoussef\Desktop\[الزواج والطلاق 2019 نسخة المنصوري.xlsx]Sheet1'!$B$1"/>
    </parameters>
  </connection>
  <connection id="34" name="(Default) XLS_TAB_25_3"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3_x000d__x000a_   ORDER BY   X.ROW_ORDER"/>
    <parameters count="1">
      <parameter name="Parameter1" parameterType="cell" refreshOnChange="1" cell="'C:\Users\ayoussef\Desktop\[الزواج والطلاق 2019 نسخة المنصوري.xlsx]Sheet1'!$B$1"/>
    </parameters>
  </connection>
  <connection id="35" name="(Default) XLS_TAB_26_2"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2_x000d__x000a_ORDER BY   X.ROW_ORDER"/>
    <parameters count="1">
      <parameter name="Parameter1" parameterType="cell" refreshOnChange="1" cell="'C:\Users\ayoussef\Desktop\[الزواج والطلاق 2019 نسخة المنصوري.xlsx]Sheet1'!$B$1"/>
    </parameters>
  </connection>
  <connection id="36" name="(Default) XLS_TAB_26_2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1_x000d__x000a_ORDER BY   X.ROW_ORDER"/>
    <parameters count="1">
      <parameter name="Parameter1" parameterType="cell" refreshOnChange="1" cell="'C:\Users\ayoussef\Desktop\[الزواج والطلاق 2019 نسخة المنصوري.xlsx]Sheet1'!$B$1"/>
    </parameters>
  </connection>
  <connection id="37" name="(Default) XLS_TAB_26_22"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3_x000d__x000a_ORDER BY   X.ROW_ORDER"/>
    <parameters count="1">
      <parameter name="Parameter1" parameterType="cell" refreshOnChange="1" cell="'C:\Users\ayoussef\Desktop\[الزواج والطلاق 2019 نسخة المنصوري.xlsx]Sheet1'!$B$1"/>
    </parameters>
  </connection>
  <connection id="38" name="(Default) XLS_TAB_27_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 1_x000d__x000a_ORDER BY   X.ROW_ORDER"/>
    <parameters count="1">
      <parameter name="Parameter1" parameterType="cell" refreshOnChange="1" cell="'C:\Users\ayoussef\Desktop\[الزواج والطلاق 2019 نسخة المنصوري.xlsx]Sheet1'!$B$1"/>
    </parameters>
  </connection>
  <connection id="39" name="(Default) XLS_TAB_27_1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 2_x000d__x000a_ORDER BY   X.ROW_ORDER"/>
    <parameters count="1">
      <parameter name="Parameter1" parameterType="cell" refreshOnChange="1" cell="'C:\Users\ayoussef\Desktop\[الزواج والطلاق 2019 نسخة المنصوري.xlsx]Sheet1'!$B$1"/>
    </parameters>
  </connection>
  <connection id="40" name="(Default) XLS_TAB_27_21" type="1" refreshedVersion="4" minRefreshableVersion="3" savePassword="1" saveData="1">
    <dbPr connection="DSN=VITAL_DB;UID=md_qry;PWD=md4421;SERVER=dev;" command="SELECT   _x000d__x000a_         X.BAAN_SMALLER_CNT,_x000d__x000a_         X.RAJEE_CNT,_x000d__x000a_         X.KHULLA_CNT,_x000d__x000a_         X.BAAN_GREATER_CNT,_x000d__x000a_         X.TOTAL_x000d__x000a_         FROM   XLS_TAB_27_2 X_x000d__x000a_WHERE   X.BULLTEN_YEAR = ?_x000d__x000a_ORDER BY   X.ROW_ORDER"/>
    <parameters count="1">
      <parameter name="Parameter1" parameterType="cell" refreshOnChange="1" cell="'C:\Users\ayoussef\Desktop\[الزواج والطلاق 2019 نسخة المنصوري.xlsx]Sheet1'!$B$1"/>
    </parameters>
  </connection>
  <connection id="41" name="(Default) XLS_TAB_27_22" type="1" refreshedVersion="4" minRefreshableVersion="3" savePassword="1" saveData="1">
    <dbPr connection="DSN=VITAL_DB;UID=md_qry;PWD=md4421;SERVER=dev;" command="SELECT   X.MARR_PRD_ARB,_x000d__x000a_         X.QATARI_SON_CNT,_x000d__x000a_         X.NON_QATARI_SON_CNT,_x000d__x000a_         X.TOTAL,_x000d__x000a_         X.MARR_PRD_ENG_x000d__x000a_  FROM   XLS_TAB_47 X_x000d__x000a_WHERE   X.BULLTEN_YEAR = ?_x000d__x000a_ORDER BY   X.ROW_ORDER"/>
    <parameters count="1">
      <parameter name="Parameter1" parameterType="cell" refreshOnChange="1" cell="Sheet1!$B$1"/>
    </parameters>
  </connection>
  <connection id="42" name="(Default) XLS_TAB_27_3"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3_x000d__x000a_ORDER BY   X.ROW_ORDER"/>
    <parameters count="1">
      <parameter name="Parameter1" parameterType="cell" refreshOnChange="1" cell="'C:\Users\ayoussef\Desktop\[الزواج والطلاق 2019 نسخة المنصوري.xlsx]Sheet1'!$B$1"/>
    </parameters>
  </connection>
  <connection id="43" name="(Default) XLS_TAB_28_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1_x000d__x000a_ORDER BY   X.ROW_ORDER"/>
    <parameters count="1">
      <parameter name="Parameter1" parameterType="cell" refreshOnChange="1" cell="'C:\Users\ayoussef\Desktop\[الزواج والطلاق 2019 نسخة المنصوري.xlsx]Sheet1'!$B$1"/>
    </parameters>
  </connection>
  <connection id="44" name="(Default) XLS_TAB_28_1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2_x000d__x000a_ORDER BY   X.ROW_ORDER"/>
    <parameters count="1">
      <parameter name="Parameter1" parameterType="cell" refreshOnChange="1" cell="'C:\Users\ayoussef\Desktop\[الزواج والطلاق 2019 نسخة المنصوري.xlsx]Sheet1'!$B$1"/>
    </parameters>
  </connection>
  <connection id="45" name="(Default) XLS_TAB_28_3"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3_x000d__x000a_ORDER BY   X.ROW_ORDER"/>
    <parameters count="1">
      <parameter name="Parameter1" parameterType="cell" refreshOnChange="1" cell="'C:\Users\ayoussef\Desktop\[الزواج والطلاق 2019 نسخة المنصوري.xlsx]Sheet1'!$B$1"/>
    </parameters>
  </connection>
  <connection id="46" name="(Default) XLS_TAB_30_2" type="1" refreshedVersion="4" minRefreshableVersion="3" savePassword="1" saveData="1">
    <dbPr connection="DSN=VITAL_DB;UID=md_qry;PWD=md4421;SERVER=dev;" command="SELECT   x.MARRD_PRD_HUSBD_ARB,_x000d__x000a_           X.CAT_1_HSB_CNT,_x000d__x000a_           X.CAT_1_WFE_CNT,_x000d__x000a_           X.CAT_2_HSB_CNT,_x000d__x000a_           X.CAT_2_WFE_CNT,_x000d__x000a_           X.CAT_3_HSB_CNT,_x000d__x000a_           X.CAT_3_WFE_CNT,_x000d__x000a_           X.CAT_4_HSB_CNT,_x000d__x000a_           X.CAT_4_WFE_CNT,_x000d__x000a_           X.TOT_HSB_CNT,_x000d__x000a_           X.TOT_WFE_CNT,_x000d__x000a_           X.TOT_NOTSTAT_CNT,_x000d__x000a_           X.G_TOTAL,_x000d__x000a_           X.MARRD_PRD_HUSBD_ENG_x000d__x000a_    FROM   XLS_TAB_30_2 X_x000d__x000a_   WHERE   X.BULLTEN_YEAR = ?_x000d__x000a_ORDER BY   X.ROW_ORDER"/>
    <parameters count="1">
      <parameter name="Parameter1" parameterType="cell" refreshOnChange="1" cell="Sheet1!$B$1"/>
    </parameters>
  </connection>
  <connection id="47" name="(Default) XLS_TAB_30_3"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3_x000d__x000a_ORDER BY   X.ROW_ORDER"/>
    <parameters count="1">
      <parameter name="Parameter1" parameterType="cell" refreshOnChange="1" cell="Sheet1!$B$1"/>
    </parameters>
  </connection>
  <connection id="48" name="(Default) XLS_TAB_30_31"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2_x000d__x000a_ORDER BY   X.ROW_ORDER"/>
    <parameters count="1">
      <parameter name="Parameter1" parameterType="cell" refreshOnChange="1" cell="Sheet1!$B$1"/>
    </parameters>
  </connection>
  <connection id="49" name="(Default) XLS_TAB_30_32"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1_x000d__x000a_ORDER BY   X.ROW_ORDER"/>
    <parameters count="1">
      <parameter name="Parameter1" parameterType="cell" refreshOnChange="1" cell="Sheet1!$B$1"/>
    </parameters>
  </connection>
  <connection id="50" name="(Default) XLS_TAB_31_1"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1_x000d__x000a_  ORDER BY X.ROW_ORDER"/>
    <parameters count="1">
      <parameter name="Parameter1" parameterType="cell" refreshOnChange="1" cell="Sheet1!$B$1"/>
    </parameters>
  </connection>
  <connection id="51" name="(Default) XLS_TAB_31_2"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2_x000d__x000a_  ORDER BY X.ROW_ORDER"/>
    <parameters count="1">
      <parameter name="Parameter1" parameterType="cell" refreshOnChange="1" cell="Sheet1!$B$1"/>
    </parameters>
  </connection>
  <connection id="52" name="(Default) XLS_TAB_31_3"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3_x000d__x000a_  ORDER BY X.ROW_ORDER"/>
    <parameters count="1">
      <parameter name="Parameter1" parameterType="cell" refreshOnChange="1" cell="Sheet1!$B$1"/>
    </parameters>
  </connection>
  <connection id="53" name="(Default) XLS_TAB_32" type="1" refreshedVersion="4" minRefreshableVersion="3" savePassword="1" saveData="1">
    <dbPr connection="DSN=VITAL_DB;UID=md_qry;PWD=md4421;SERVER=DEV;" command="SELECT  _x000d__x000a_           X.AREA_ARB,_x000d__x000a_           X.CNT_BELOW_20,_x000d__x000a_           X.CNT_20_24,_x000d__x000a_           X.CNT_25_29,_x000d__x000a_           X.CNT_30_34,_x000d__x000a_           X.CNT_35_39,_x000d__x000a_           X.CNT_40_44,_x000d__x000a_           X.CNT_45_49,_x000d__x000a_           X.CNT_50_54,_x000d__x000a_           X.CNT_55_59,_x000d__x000a_           X.CNT_60_64,_x000d__x000a_           X.CNT_65_69,_x000d__x000a_           X.CNT_70_74,_x000d__x000a_           X.CNT_UP_75,_x000d__x000a_           X.NOT_STATED,_x000d__x000a_           X.TOTAL,_x000d__x000a_           X.AREA_ENG_x000d__x000a_    FROM   XLS_TAB_32 X_x000d__x000a_   WHERE   X.BULLTEN_YEAR = ? _x000d__x000a_ORDER BY   X.ROW_ORDER"/>
    <parameters count="1">
      <parameter name="Parameter1" parameterType="cell" refreshOnChange="1" cell="Sheet1!$B$1"/>
    </parameters>
  </connection>
  <connection id="54" name="(Default) XLS_TAB_33" type="1" refreshedVersion="4" minRefreshableVersion="3" savePassword="1" saveData="1">
    <dbPr connection="DSN=VITAL_DB;UID=md_qry;PWD=md4421;SERVER=DEV;" command="SELECT  _x000d__x000a_           X.AREA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REA_ENG_x000d__x000a_    FROM   XLS_TAB_33 X_x000d__x000a_   WHERE   X.BULLTEN_YEAR = ?_x000d__x000a_ORDER BY   X.ROW_ORDER"/>
    <parameters count="1">
      <parameter name="Parameter1" parameterType="cell" refreshOnChange="1" cell="Sheet1!$B$1"/>
    </parameters>
  </connection>
  <connection id="55" name="(Default) XLS_TAB_34" type="1" refreshedVersion="4" minRefreshableVersion="3" savePassword="1" saveData="1">
    <dbPr connection="DSN=VITAL_DB;UID=md_qry;PWD=md4421;SERVER=DEV;" command="SELECT  _x000d__x000a_           X.QATAR,_x000d__x000a_           X.OTHER_G_C_C_COUNTRIES,_x000d__x000a_           X.OTHER_ARAB_COUNTRIES,_x000d__x000a_           X.ASIAN_COUNTRIES,_x000d__x000a_           X.EUROPEAN_COUNTRIES,_x000d__x000a_           X.OTHER_COUNTRIES,_x000d__x000a_           X.TOTAL_x000d__x000a_    FROM   XLS_TAB_34 X_x000d__x000a_   WHERE   X.BULLTEN_YEAR = ?_x000d__x000a_ORDER BY   X.ROW_ORDER"/>
    <parameters count="1">
      <parameter name="Parameter1" parameterType="cell" refreshOnChange="1" cell="'C:\Users\ayoussef\Desktop\[الزواج والطلاق 2019 نسخة المنصوري.xlsx]Sheet1'!$B$1"/>
    </parameters>
  </connection>
  <connection id="56" name="(Default) XLS_TAB_35" type="1" refreshedVersion="4" minRefreshableVersion="3" savePassword="1" saveData="1">
    <dbPr connection="DSN=VITAL_DB;UID=md_qry;PWD=md4421;SERVER=DEV;" command="SELECT   X.AGE_LEVEL_ARB,_x000d__x000a_           X.Q_NONE_CNT,_x000d__x000a_           X.Q_1_CNT,_x000d__x000a_           X.Q_2_CNT,_x000d__x000a_           X.Q_4_CNT,_x000d__x000a_           X.Q_NOT_STATED,_x000d__x000a_           X.Q_TOT_CNT,_x000d__x000a_           X.NQ_NONE_CNT,_x000d__x000a_           X.NQ_1_CNT,_x000d__x000a_           X.NQ_2_CNT,_x000d__x000a_           X.NQ_4_CNT,_x000d__x000a_           X.NQ_NOT_STATED,_x000d__x000a_           X.NQ_TOT_CNT,_x000d__x000a_           X.AGE_LEVEL_ENG_x000d__x000a_    FROM   XLS_TAB_35 X_x000d__x000a_   WHERE   X.BULLTEN_YEAR = ?_x000d__x000a_ORDER BY   X.ROW_ORDER"/>
    <parameters count="1">
      <parameter name="Parameter1" parameterType="cell" refreshOnChange="1" cell="Sheet1!$B$1"/>
    </parameters>
  </connection>
  <connection id="57" name="(Default) XLS_TAB_36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1_x000d__x000a_ORDER BY   X.ROW_ORDER"/>
    <parameters count="1">
      <parameter name="Parameter1" parameterType="cell" refreshOnChange="1" cell="'C:\Users\ayoussef\Desktop\[الزواج والطلاق 2019 نسخة المنصوري.xlsx]Sheet1'!$B$1"/>
    </parameters>
  </connection>
  <connection id="58" name="(Default) XLS_TAB_36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2_x000d__x000a_ORDER BY   X.ROW_ORDER"/>
    <parameters count="1">
      <parameter name="Parameter1" parameterType="cell" refreshOnChange="1" cell="'C:\Users\ayoussef\Desktop\[الزواج والطلاق 2019 نسخة المنصوري.xlsx]Sheet1'!$B$1"/>
    </parameters>
  </connection>
  <connection id="59" name="(Default) XLS_TAB_36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3_x000d__x000a_ORDER BY   X.ROW_ORDER"/>
    <parameters count="1">
      <parameter name="Parameter1" parameterType="cell" refreshOnChange="1" cell="'C:\Users\ayoussef\Desktop\[الزواج والطلاق 2019 نسخة المنصوري.xlsx]Sheet1'!$B$1"/>
    </parameters>
  </connection>
  <connection id="60" name="(Default) XLS_TAB_37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 1_x000d__x000a_ORDER BY   X.ROW_ORDER"/>
    <parameters count="1">
      <parameter name="Parameter1" parameterType="cell" refreshOnChange="1" cell="'C:\Users\ayoussef\Desktop\[الزواج والطلاق 2019 نسخة المنصوري.xlsx]Sheet1'!$B$1"/>
    </parameters>
  </connection>
  <connection id="61" name="(Default) XLS_TAB_37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2_x000d__x000a_ORDER BY   X.ROW_ORDER"/>
    <parameters count="1">
      <parameter name="Parameter1" parameterType="cell" refreshOnChange="1" cell="'C:\Users\ayoussef\Desktop\[الزواج والطلاق 2019 نسخة المنصوري.xlsx]Sheet1'!$B$1"/>
    </parameters>
  </connection>
  <connection id="62" name="(Default) XLS_TAB_37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3_x000d__x000a_ORDER BY   X.ROW_ORDER"/>
    <parameters count="1">
      <parameter name="Parameter1" parameterType="cell" refreshOnChange="1" cell="'C:\Users\ayoussef\Desktop\[الزواج والطلاق 2019 نسخة المنصوري.xlsx]Sheet1'!$B$1"/>
    </parameters>
  </connection>
  <connection id="63" name="(Default) XLS_TAB_38_1"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 1_x000d__x000a_ORDER BY   X.ROW_ORDER"/>
    <parameters count="1">
      <parameter name="Parameter1" parameterType="cell" refreshOnChange="1" cell="Sheet1!$B$1"/>
    </parameters>
  </connection>
  <connection id="64" name="(Default) XLS_TAB_38_2"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2_x000d__x000a_ORDER BY   X.ROW_ORDER"/>
    <parameters count="1">
      <parameter name="Parameter1" parameterType="cell" refreshOnChange="1" cell="Sheet1!$B$1"/>
    </parameters>
  </connection>
  <connection id="65" name="(Default) XLS_TAB_38_3"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3_x000d__x000a_ORDER BY   X.ROW_ORDER"/>
    <parameters count="1">
      <parameter name="Parameter1" parameterType="cell" refreshOnChange="1" cell="Sheet1!$B$1"/>
    </parameters>
  </connection>
  <connection id="66" name="(Default) XLS_TAB_39_1"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1_x000d__x000a_ORDER BY   X.ROW_ORDER"/>
    <parameters count="1">
      <parameter name="Parameter1" parameterType="cell" refreshOnChange="1" cell="Sheet1!$B$1"/>
    </parameters>
  </connection>
  <connection id="67" name="(Default) XLS_TAB_39_2"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2_x000d__x000a_ORDER BY   X.ROW_ORDER"/>
    <parameters count="1">
      <parameter name="Parameter1" parameterType="cell" refreshOnChange="1" cell="Sheet1!$B$1"/>
    </parameters>
  </connection>
  <connection id="68" name="(Default) XLS_TAB_39_3"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3_x000d__x000a_ORDER BY   X.ROW_ORDER"/>
    <parameters count="1">
      <parameter name="Parameter1" parameterType="cell" refreshOnChange="1" cell="Sheet1!$B$1"/>
    </parameters>
  </connection>
  <connection id="69" name="(Default) XLS_TAB_40_1"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 1_x000d__x000a_ORDER BY   X.ROW_ORDER"/>
    <parameters count="1">
      <parameter name="Parameter1" parameterType="cell" refreshOnChange="1" cell="'C:\Users\ayoussef\Desktop\[الزواج والطلاق 2019 نسخة المنصوري.xlsx]Sheet1'!$B$1"/>
    </parameters>
  </connection>
  <connection id="70" name="(Default) XLS_TAB_40_2"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2_x000d__x000a_ORDER BY   X.ROW_ORDER"/>
    <parameters count="1">
      <parameter name="Parameter1" parameterType="cell" refreshOnChange="1" cell="'C:\Users\ayoussef\Desktop\[الزواج والطلاق 2019 نسخة المنصوري.xlsx]Sheet1'!$B$1"/>
    </parameters>
  </connection>
  <connection id="71" name="(Default) XLS_TAB_40_3"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3_x000d__x000a_ORDER BY   X.ROW_ORDER"/>
    <parameters count="1">
      <parameter name="Parameter1" parameterType="cell" refreshOnChange="1" cell="'C:\Users\ayoussef\Desktop\[الزواج والطلاق 2019 نسخة المنصوري.xlsx]Sheet1'!$B$1"/>
    </parameters>
  </connection>
  <connection id="72" name="(Default) XLS_TAB_41_1"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1_x000d__x000a_  ORDER BY X.ROW_ORDER"/>
    <parameters count="1">
      <parameter name="Parameter1" parameterType="cell" refreshOnChange="1" cell="'C:\Users\ayoussef\Desktop\[الزواج والطلاق 2019 نسخة المنصوري.xlsx]Sheet1'!$B$1"/>
    </parameters>
  </connection>
  <connection id="73" name="(Default) XLS_TAB_41_2"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2_x000d__x000a_  ORDER BY X.ROW_ORDER"/>
    <parameters count="1">
      <parameter name="Parameter1" parameterType="cell" refreshOnChange="1" cell="'C:\Users\ayoussef\Desktop\[الزواج والطلاق 2019 نسخة المنصوري.xlsx]Sheet1'!$B$1"/>
    </parameters>
  </connection>
  <connection id="74" name="(Default) XLS_TAB_41_3"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3_x000d__x000a_  ORDER BY X.ROW_ORDER"/>
    <parameters count="1">
      <parameter name="Parameter1" parameterType="cell" refreshOnChange="1" cell="'C:\Users\ayoussef\Desktop\[الزواج والطلاق 2019 نسخة المنصوري.xlsx]Sheet1'!$B$1"/>
    </parameters>
  </connection>
  <connection id="75" name="(Default) XLS_TAB_42"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X.TOTAL_x000d__x000a_  FROM   MIGRATE.XLS_TAB_42 X_x000d__x000a_  WHERE X.BULLTEN_YEAR=?_x000d__x000a_  ORDER BY X.ROW_ORDER,X.CASES_SONS"/>
    <parameters count="1">
      <parameter name="Parameter1" parameterType="cell" refreshOnChange="1" cell="'C:\Users\ayoussef\Desktop\[الزواج والطلاق 2019 نسخة المنصوري.xlsx]Sheet1'!$B$1"/>
    </parameters>
  </connection>
  <connection id="76" name="(Default) XLS_TAB_43" type="1" refreshedVersion="4" minRefreshableVersion="3" savePassword="1" saveData="1">
    <dbPr connection="DSN=VITAL_DB;UID=md_qry;PWD=md4421;SERVER=DEV;" command="SELECT   _x000d__x000a_           X.MARRD_PRD_HUSBD_ARB,_x000d__x000a_           X.CAT_1_SON_CNT,_x000d__x000a_           X.CAT_1_CASE_CNT,_x000d__x000a_           X.CAT_2_SON_CNT,_x000d__x000a_           X.CAT_2_CASE_CNT,_x000d__x000a_           X.CAT_3_SON_CNT,_x000d__x000a_           X.CAT_3_CASE_CNT,_x000d__x000a_           X.CAT_4_SON_CNT,_x000d__x000a_           X.CAT_4_CASE_CNT,_x000d__x000a_           X.CAT_TOT_SON_CNT,_x000d__x000a_           X.CAT_TOT_CASE_CNT,_x000d__x000a_           X.MARRD_PRD_HUSBD_ENG_x000d__x000a_    FROM   XLS_TAB_43 X_x000d__x000a_   WHERE   X.BULLTEN_YEAR = ?_x000d__x000a_ORDER BY   X.ROW_ORDER"/>
    <parameters count="1">
      <parameter name="Parameter1" parameterType="cell" refreshOnChange="1" cell="Sheet1!$B$1"/>
    </parameters>
  </connection>
  <connection id="77" name="(Default) XLS_TAB_48" type="1" refreshedVersion="4" minRefreshableVersion="3" savePassword="1" saveData="1">
    <dbPr connection="DSN=VITAL_DB;UID=md_qry;PWD=md4421;SERVER=dev;" command="SELECT   X.MARR_PRD_ARB,_x000d__x000a_         X.QATARI_SON_CNT,_x000d__x000a_         X.NON_QATARI_SON_CNT,_x000d__x000a_         X.TOTAL,_x000d__x000a_         X.MARR_PRD_ENG_x000d__x000a_  FROM   XLS_TAB_48 X_x000d__x000a_WHERE   X.BULLTEN_YEAR = ?_x000d__x000a_ORDER BY   X.ROW_ORDER"/>
    <parameters count="1">
      <parameter name="Parameter1" parameterType="cell" refreshOnChange="1" cell="Sheet1!$B$1"/>
    </parameters>
  </connection>
  <connection id="78" name="(Default) XLS_TAB_7" type="1" refreshedVersion="4" savePassword="1" saveData="1">
    <dbPr connection="DSN=VITAL_DB;UID=md_qry;PWD=md4421;SERVER=DEV;" command="SELECT   X.M_QTRI_COUNT,_x000d__x000a_         X.M_NQTRI_COUNT,_x000d__x000a_         X.M_QTRI_TOT_COUNT,_x000d__x000a_         X.W_QTRI_COUNT,_x000d__x000a_         X.W_NQTRI_COUNT,_x000d__x000a_         X.W_QTRI_TOT_COUNT_x000d__x000a_  FROM   XLS_TAB_7 X_x000d__x000a_  where  X.BULLTEN_YEAR=?_x000d__x000a_ORDER BY X.ROW_ORDER"/>
    <parameters count="1">
      <parameter name="Parameter1" parameterType="cell" refreshOnChange="1" cell="Sheet1!$B$1"/>
    </parameters>
  </connection>
  <connection id="79" name="(Default) XLS_TAB_8" type="1" refreshedVersion="4" minRefreshableVersion="3" savePassword="1" saveData="1">
    <dbPr connection="DSN=VITAL_DB;UID=md_qry;PWD=md4421;SERVER=DEV;" command="SELECT   _x000d__x000a_         X.QATAR,_x000d__x000a_         X.OTHER_G_C_C_COUNTRIES,_x000d__x000a_         X.OTHER_ARAB_COUNTRIES,_x000d__x000a_         X.ASIAN_COUNTRIES,_x000d__x000a_         X.EUROPEAN_COUNTRIES,_x000d__x000a_         X.OTHER_COUNTRIES,_x000d__x000a_         X.TOTAL,_x000d__x000a_         X.ROW_ORDER      _x000d__x000a_  FROM   XLS_TAB_8 X_x000d__x000a_  WHERE X.BULLTEN_YEAR=?_x000d__x000a_  ORDER BY X.ROW_ORDER"/>
    <parameters count="1">
      <parameter name="Parameter1" parameterType="cell" refreshOnChange="1" cell="Sheet1!$B$1"/>
    </parameters>
  </connection>
  <connection id="80" name="(Default) XLS_TAB_9" type="1" refreshedVersion="4" minRefreshableVersion="3" savePassword="1" saveData="1">
    <dbPr connection="DSN=VITAL_DB;UID=md_qry;PWD=md4421;SERVER=DEV;" command="SELECT   _x000d__x000a_           X.NAT_DESC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60_64,_x000d__x000a_           X.AGE_LEVEL_65_70,_x000d__x000a_           X.AGE_LEVEL_70_74,_x000d__x000a_           X.AGE_LEVEL_75,_x000d__x000a_           X.AGE_LEVEL_NOT_STATED,_x000d__x000a_           X.TOTAL,_x000d__x000a_           X.NAT_DESC_ENG_x000d__x000a_    FROM   XLS_TAB_9 X_x000d__x000a_  WHERE   X.BULLTEN_YEAR = ?_x000d__x000a_ORDER BY   X.ROW_ORDER"/>
    <parameters count="1">
      <parameter name="Parameter1" parameterType="cell" refreshOnChange="1" cell="Sheet1!$B$1"/>
    </parameters>
  </connection>
</connections>
</file>

<file path=xl/sharedStrings.xml><?xml version="1.0" encoding="utf-8"?>
<sst xmlns="http://schemas.openxmlformats.org/spreadsheetml/2006/main" count="4835" uniqueCount="1300">
  <si>
    <t xml:space="preserve">إشهادات الطلاق حسب عدد الأبناء وفئة عمر الزوجة </t>
  </si>
  <si>
    <t>المجموع Total</t>
  </si>
  <si>
    <t>جدول رقم (39-3)</t>
  </si>
  <si>
    <t>Table No. (39-3)</t>
  </si>
  <si>
    <t>Age Group of Wife (In Years)</t>
  </si>
  <si>
    <t>6 +</t>
  </si>
  <si>
    <t>20 - 24</t>
  </si>
  <si>
    <t>25 - 29</t>
  </si>
  <si>
    <t>30 - 34</t>
  </si>
  <si>
    <t>35 - 39</t>
  </si>
  <si>
    <t>40 - 44</t>
  </si>
  <si>
    <t>45 - 49</t>
  </si>
  <si>
    <t>50 - 54</t>
  </si>
  <si>
    <t>55 - 59</t>
  </si>
  <si>
    <t>60 +</t>
  </si>
  <si>
    <t>غير مبين</t>
  </si>
  <si>
    <t>Not Stated</t>
  </si>
  <si>
    <t>المجموع</t>
  </si>
  <si>
    <t xml:space="preserve">Total  </t>
  </si>
  <si>
    <t xml:space="preserve">النسبة   </t>
  </si>
  <si>
    <t>Percentage</t>
  </si>
  <si>
    <t>قطريات
Qataris</t>
  </si>
  <si>
    <t>غير قطريات
Non-Qataris</t>
  </si>
  <si>
    <t>إشهادات الطلاق حسب جنسية الزوج والزوجة وعدد أبناء الزوجة ومدة الحياة الزواجية للزوج</t>
  </si>
  <si>
    <t>إشهادات الطلاق حسب عدد أبناء الزوجة وجنسية الزوج والزوجة</t>
  </si>
  <si>
    <t>4</t>
  </si>
  <si>
    <r>
      <t xml:space="preserve">النسبة
</t>
    </r>
    <r>
      <rPr>
        <b/>
        <sz val="9"/>
        <rFont val="Arial"/>
        <family val="2"/>
      </rPr>
      <t>%</t>
    </r>
  </si>
  <si>
    <r>
      <t xml:space="preserve">العدد
</t>
    </r>
    <r>
      <rPr>
        <b/>
        <sz val="9"/>
        <rFont val="Arial"/>
        <family val="2"/>
      </rPr>
      <t>No.</t>
    </r>
  </si>
  <si>
    <r>
      <t>المجموع</t>
    </r>
    <r>
      <rPr>
        <b/>
        <sz val="8"/>
        <rFont val="Arial"/>
        <family val="2"/>
        <charset val="178"/>
      </rPr>
      <t xml:space="preserve">
</t>
    </r>
    <r>
      <rPr>
        <b/>
        <sz val="10"/>
        <rFont val="Arial"/>
        <family val="2"/>
      </rPr>
      <t>Total</t>
    </r>
  </si>
  <si>
    <t>Year</t>
  </si>
  <si>
    <t>عقود الزواج
Marriages</t>
  </si>
  <si>
    <t>السنة</t>
  </si>
  <si>
    <t>جدول رقم (1)</t>
  </si>
  <si>
    <r>
      <t xml:space="preserve"> Graph No. (1) </t>
    </r>
    <r>
      <rPr>
        <b/>
        <sz val="12"/>
        <rFont val="Arial"/>
        <family val="2"/>
      </rPr>
      <t>شكل رقم</t>
    </r>
  </si>
  <si>
    <r>
      <t>إناث</t>
    </r>
    <r>
      <rPr>
        <b/>
        <sz val="8"/>
        <rFont val="Arial"/>
        <family val="2"/>
        <charset val="178"/>
      </rPr>
      <t xml:space="preserve">
Females</t>
    </r>
  </si>
  <si>
    <r>
      <t>ذكور</t>
    </r>
    <r>
      <rPr>
        <b/>
        <sz val="8"/>
        <rFont val="Arial"/>
        <family val="2"/>
        <charset val="178"/>
      </rPr>
      <t xml:space="preserve"> 
Males</t>
    </r>
  </si>
  <si>
    <t>جدول رقم (2)</t>
  </si>
  <si>
    <t>متوسط العمر عند أول زواج</t>
  </si>
  <si>
    <r>
      <t xml:space="preserve"> Graph No. (2) </t>
    </r>
    <r>
      <rPr>
        <b/>
        <sz val="12"/>
        <rFont val="Arial"/>
        <family val="2"/>
      </rPr>
      <t>شكل رقم</t>
    </r>
  </si>
  <si>
    <t>Crude Divorces Rate</t>
  </si>
  <si>
    <t>Crude Marriages Rate</t>
  </si>
  <si>
    <t>معدل الطلاق الخام</t>
  </si>
  <si>
    <t>عدد حالات الطلاق</t>
  </si>
  <si>
    <t>معدل الزواج الخام</t>
  </si>
  <si>
    <t>عدد حالات الزواج</t>
  </si>
  <si>
    <t>جدول رقم (3)</t>
  </si>
  <si>
    <r>
      <t>MARRIAGES AND DIVORCES CRUDE RATE PER 1000 POPULATION</t>
    </r>
    <r>
      <rPr>
        <b/>
        <vertAlign val="superscript"/>
        <sz val="12"/>
        <rFont val="Arial"/>
        <family val="2"/>
      </rPr>
      <t xml:space="preserve"> </t>
    </r>
  </si>
  <si>
    <r>
      <t xml:space="preserve"> Graph No. (3) </t>
    </r>
    <r>
      <rPr>
        <b/>
        <sz val="12"/>
        <rFont val="Arial"/>
        <family val="2"/>
      </rPr>
      <t>شكل رقم</t>
    </r>
  </si>
  <si>
    <r>
      <t xml:space="preserve">معدل الزواج العام
</t>
    </r>
    <r>
      <rPr>
        <b/>
        <sz val="9"/>
        <rFont val="Arial"/>
        <family val="2"/>
        <charset val="178"/>
      </rPr>
      <t xml:space="preserve">General Marriage Rates </t>
    </r>
  </si>
  <si>
    <r>
      <t xml:space="preserve">حالات الزواج 
</t>
    </r>
    <r>
      <rPr>
        <b/>
        <sz val="9"/>
        <rFont val="Arial"/>
        <family val="2"/>
        <charset val="178"/>
      </rPr>
      <t>Marriages</t>
    </r>
  </si>
  <si>
    <r>
      <t xml:space="preserve">الإناث </t>
    </r>
    <r>
      <rPr>
        <b/>
        <sz val="10"/>
        <rFont val="Arial"/>
        <family val="2"/>
        <charset val="178"/>
      </rPr>
      <t>Females</t>
    </r>
  </si>
  <si>
    <r>
      <t xml:space="preserve">الذكور </t>
    </r>
    <r>
      <rPr>
        <b/>
        <sz val="10"/>
        <rFont val="Arial"/>
        <family val="2"/>
        <charset val="178"/>
      </rPr>
      <t>Males</t>
    </r>
  </si>
  <si>
    <t>غير قطريين Non-Qataris</t>
  </si>
  <si>
    <t>قطريون Qataris</t>
  </si>
  <si>
    <t>جدول رقم (4)</t>
  </si>
  <si>
    <r>
      <t xml:space="preserve"> Graph No. (4) </t>
    </r>
    <r>
      <rPr>
        <b/>
        <sz val="12"/>
        <rFont val="Arial"/>
        <family val="2"/>
      </rPr>
      <t>شكل رقم</t>
    </r>
  </si>
  <si>
    <t>Total</t>
  </si>
  <si>
    <t>Al Daayen</t>
  </si>
  <si>
    <t>Al Shamal</t>
  </si>
  <si>
    <t>Al Khor</t>
  </si>
  <si>
    <t>Umm Salal</t>
  </si>
  <si>
    <t>Al Wakra</t>
  </si>
  <si>
    <t>Al Rayyan</t>
  </si>
  <si>
    <t>Doha</t>
  </si>
  <si>
    <t>جنسية الزوجة
Nationality of Wife</t>
  </si>
  <si>
    <t>جنسية الزوج
Nationality of Husband</t>
  </si>
  <si>
    <t>جدول رقم (5)</t>
  </si>
  <si>
    <t>Graph No. (5) شكل رقم</t>
  </si>
  <si>
    <t>December</t>
  </si>
  <si>
    <t>ديسمبر</t>
  </si>
  <si>
    <t>November</t>
  </si>
  <si>
    <t>نوفمبر</t>
  </si>
  <si>
    <t>October</t>
  </si>
  <si>
    <t>أكتوبر</t>
  </si>
  <si>
    <t>September</t>
  </si>
  <si>
    <t>سبتمبر</t>
  </si>
  <si>
    <t>August</t>
  </si>
  <si>
    <t>اغسطس</t>
  </si>
  <si>
    <t>July</t>
  </si>
  <si>
    <t>يوليو</t>
  </si>
  <si>
    <t>June</t>
  </si>
  <si>
    <t>يونيو</t>
  </si>
  <si>
    <t>May</t>
  </si>
  <si>
    <t>مايـو</t>
  </si>
  <si>
    <t>April</t>
  </si>
  <si>
    <t>ابريل</t>
  </si>
  <si>
    <t>March</t>
  </si>
  <si>
    <t>مارس</t>
  </si>
  <si>
    <t>February</t>
  </si>
  <si>
    <t>فبراير</t>
  </si>
  <si>
    <t>January</t>
  </si>
  <si>
    <t>يناير</t>
  </si>
  <si>
    <t>Month</t>
  </si>
  <si>
    <t>الشهر</t>
  </si>
  <si>
    <t>MARRIAGES BY NATIONALITY OF HUSBAND, NATIONALITY
OF WIFE AND MONTH</t>
  </si>
  <si>
    <t>عقود الزواج حسب جنسية الزوج والزوجة والشهر</t>
  </si>
  <si>
    <t>دول أخرى
Other Countries</t>
  </si>
  <si>
    <t>دول أوروبية
Europen Countries</t>
  </si>
  <si>
    <t>دول أسيوية
Asian Countries</t>
  </si>
  <si>
    <t>باقي الدول العربية
Other Arabs Countries</t>
  </si>
  <si>
    <t>بقية دول مجلس التعاون
Other G.C.C. Countries</t>
  </si>
  <si>
    <t>قطر
Qatar</t>
  </si>
  <si>
    <t>Percentage of Wife</t>
  </si>
  <si>
    <t>النسبة المئوية لجنسية الزوجة</t>
  </si>
  <si>
    <t>دول أوروبية</t>
  </si>
  <si>
    <t>بقية الدول العربية</t>
  </si>
  <si>
    <t>بقية دول مجلس التعاون</t>
  </si>
  <si>
    <t>قطر</t>
  </si>
  <si>
    <r>
      <t xml:space="preserve">المجموع
</t>
    </r>
    <r>
      <rPr>
        <b/>
        <sz val="9"/>
        <rFont val="Arial"/>
        <family val="2"/>
        <charset val="178"/>
      </rPr>
      <t>Total</t>
    </r>
  </si>
  <si>
    <t>Nationality of Husband</t>
  </si>
  <si>
    <t>جنسية الزوجة Nationality of Wife</t>
  </si>
  <si>
    <t>جنسية الزوج</t>
  </si>
  <si>
    <t>جدول رقم (7)</t>
  </si>
  <si>
    <t>MARRIAGES BY NATIONALITY OF WIFE AND HUSBAND</t>
  </si>
  <si>
    <t>عقود الزواج حسب جنسية الزوجة والزوج</t>
  </si>
  <si>
    <r>
      <t xml:space="preserve"> Graph No. (6) </t>
    </r>
    <r>
      <rPr>
        <b/>
        <sz val="12"/>
        <rFont val="Arial"/>
        <family val="2"/>
      </rPr>
      <t>شكل رقم</t>
    </r>
  </si>
  <si>
    <r>
      <t xml:space="preserve">المجموع
</t>
    </r>
    <r>
      <rPr>
        <b/>
        <sz val="9"/>
        <rFont val="Arial"/>
        <family val="2"/>
      </rPr>
      <t>Total</t>
    </r>
  </si>
  <si>
    <t>75+</t>
  </si>
  <si>
    <t>70-74</t>
  </si>
  <si>
    <t>65-69</t>
  </si>
  <si>
    <t>60-64</t>
  </si>
  <si>
    <t>55-59</t>
  </si>
  <si>
    <t>50-54</t>
  </si>
  <si>
    <t>45-49</t>
  </si>
  <si>
    <t>40-44</t>
  </si>
  <si>
    <t>35-39</t>
  </si>
  <si>
    <t>30-34</t>
  </si>
  <si>
    <t>25-29</t>
  </si>
  <si>
    <t>20-24</t>
  </si>
  <si>
    <t xml:space="preserve">فئة عمر الزوج  بالسنوات   Age Group of Husband in years </t>
  </si>
  <si>
    <t>Table No. (8)</t>
  </si>
  <si>
    <t>جدول رقم (8)</t>
  </si>
  <si>
    <t>عقود الزواج حسب فئة عمر الزوج وجنسيته</t>
  </si>
  <si>
    <t>60+</t>
  </si>
  <si>
    <t>15-19</t>
  </si>
  <si>
    <t>Nationality of Wife</t>
  </si>
  <si>
    <t xml:space="preserve">فئة عمر الزوجة  بالسنوات   Age Group of Wife in years </t>
  </si>
  <si>
    <t>جنسية الزوجة</t>
  </si>
  <si>
    <t>Table No. (9)</t>
  </si>
  <si>
    <t>جدول رقم (9)</t>
  </si>
  <si>
    <t>MARRIAGES BY WIFE AGE GROUP AND NATIONALITY</t>
  </si>
  <si>
    <t>عقود الزواج حسب فئة عمر الزوجة وجنسيتها</t>
  </si>
  <si>
    <t xml:space="preserve"> Age Group
 of Husband in Years</t>
  </si>
  <si>
    <t xml:space="preserve"> فئات عمر الزوج بالسنوات</t>
  </si>
  <si>
    <t>MARRIAGES BY AGE GROUP OF WIFE AND HUSBAND</t>
  </si>
  <si>
    <t>عقود الزواج حسب فئة عمر الزوجة والزوج</t>
  </si>
  <si>
    <t>النسبة</t>
  </si>
  <si>
    <r>
      <t xml:space="preserve">غير مبين
</t>
    </r>
    <r>
      <rPr>
        <sz val="10"/>
        <rFont val="Arial"/>
        <family val="2"/>
      </rPr>
      <t>Not Stated</t>
    </r>
  </si>
  <si>
    <t>عدد الزوجات بالعصمة Number of Wives</t>
  </si>
  <si>
    <t>Table No. (11-1)</t>
  </si>
  <si>
    <t>جدول رقم (11-1)</t>
  </si>
  <si>
    <t>MARRIAGES BY NUMBER OF WIVES AND HUSBAND'S AGE GROUP</t>
  </si>
  <si>
    <t>عقود الزواج حسب عدد الزوجات بالعصمة وفئة عمر الزوج</t>
  </si>
  <si>
    <t>Table No. (11-2)</t>
  </si>
  <si>
    <t>جدول رقم (11-2)</t>
  </si>
  <si>
    <t>Table No. (11-3)</t>
  </si>
  <si>
    <t>جدول رقم (11-3)</t>
  </si>
  <si>
    <t xml:space="preserve"> Age Group
 of Wife (in Years)</t>
  </si>
  <si>
    <t>الحالة الزواجية  Marital Status</t>
  </si>
  <si>
    <t xml:space="preserve"> فئات عمر الزوج (بالسنوات)</t>
  </si>
  <si>
    <t>Table No. (12-1)</t>
  </si>
  <si>
    <t>جدول رقم (12-1)</t>
  </si>
  <si>
    <t>MARRIAGE BY HUSBAND MARITAL STATUS AND AGE GROUP</t>
  </si>
  <si>
    <t>عقود الزواج حسب الحالة الزواجية للزوج وفئة عمر الزوج</t>
  </si>
  <si>
    <t>Table No. (12-2)</t>
  </si>
  <si>
    <t>جدول رقم (12-2)</t>
  </si>
  <si>
    <t>Table No. (12-3)</t>
  </si>
  <si>
    <t>جدول رقم (12-3)</t>
  </si>
  <si>
    <t xml:space="preserve"> Age Group
 of Wife in Years</t>
  </si>
  <si>
    <t xml:space="preserve"> فئات عمر الزوجة بالسنوات</t>
  </si>
  <si>
    <t>Table No. (13-1)</t>
  </si>
  <si>
    <t>جدول رقم (13-1)</t>
  </si>
  <si>
    <t>قطريات Qataris</t>
  </si>
  <si>
    <t>MARRIAGE BY WIFE MARITAL STATUS AND AGE GROUP</t>
  </si>
  <si>
    <t>عقود الزواج حسب الحالة الزواجية للزوجة وفئة عمرها</t>
  </si>
  <si>
    <t>Table No. (13-2)</t>
  </si>
  <si>
    <t>جدول رقم (13-2)</t>
  </si>
  <si>
    <t>غير قطريات Non-Qataris</t>
  </si>
  <si>
    <t>Table No. (13-3)</t>
  </si>
  <si>
    <t>جدول رقم (13-3)</t>
  </si>
  <si>
    <t>55+</t>
  </si>
  <si>
    <t xml:space="preserve"> Age Group</t>
  </si>
  <si>
    <r>
      <t xml:space="preserve">النسبة
</t>
    </r>
    <r>
      <rPr>
        <b/>
        <sz val="9"/>
        <rFont val="Arial"/>
        <family val="2"/>
      </rPr>
      <t>Percentage</t>
    </r>
  </si>
  <si>
    <t>العمر بالسنوات</t>
  </si>
  <si>
    <t>Table No. (14-1)</t>
  </si>
  <si>
    <t>جدول رقم (14-1)</t>
  </si>
  <si>
    <t>Table No. (14-2)</t>
  </si>
  <si>
    <t>جدول رقم (14-2)</t>
  </si>
  <si>
    <t>Table No. (14-3)</t>
  </si>
  <si>
    <t>جدول رقم (14-3)</t>
  </si>
  <si>
    <t xml:space="preserve">Percentage of Wife  </t>
  </si>
  <si>
    <t>النسبة للزوجة</t>
  </si>
  <si>
    <t xml:space="preserve">المجموع  </t>
  </si>
  <si>
    <t>Not stated</t>
  </si>
  <si>
    <t>Univ &amp; Above</t>
  </si>
  <si>
    <t>جامعي فما فوق</t>
  </si>
  <si>
    <t>Secondary</t>
  </si>
  <si>
    <t>ثانوي</t>
  </si>
  <si>
    <t>Preparatory</t>
  </si>
  <si>
    <t>إعدادي</t>
  </si>
  <si>
    <t>Primary</t>
  </si>
  <si>
    <t>إبتدائي</t>
  </si>
  <si>
    <t>Read and Write</t>
  </si>
  <si>
    <t>يقرأ و يكتب</t>
  </si>
  <si>
    <t>Illiterate</t>
  </si>
  <si>
    <t>أمي</t>
  </si>
  <si>
    <t>Educational Status of Husband</t>
  </si>
  <si>
    <t>Educational Status of Wife الحالة التعليمية للزوجة</t>
  </si>
  <si>
    <t>الحالة التعليمية للزوج</t>
  </si>
  <si>
    <t>Table No. (15-1)</t>
  </si>
  <si>
    <t>جدول رقم (15-1)</t>
  </si>
  <si>
    <t>MARRIAGES BY EDUCATIONAL STATUS OF WIFE AND HUSBAND</t>
  </si>
  <si>
    <t>عقود الزواج حسب الحالة التعليمية للزوجة والزوج</t>
  </si>
  <si>
    <t>Table No. (15-2)</t>
  </si>
  <si>
    <t>جدول رقم (15-2)</t>
  </si>
  <si>
    <t>غير مبين
Not Stated</t>
  </si>
  <si>
    <t>جامعي فما فوق
Univ &amp; Above</t>
  </si>
  <si>
    <t>ثانوي
Secondary</t>
  </si>
  <si>
    <t>إعدادي
Preparatory</t>
  </si>
  <si>
    <t>إبتدائي
Primary</t>
  </si>
  <si>
    <t>يقرأ ويكتب
Read and Write</t>
  </si>
  <si>
    <t>أمي
Illiterate</t>
  </si>
  <si>
    <t>الزوجة Wife</t>
  </si>
  <si>
    <t>الزوج Husband</t>
  </si>
  <si>
    <t>Table No. (15-3)</t>
  </si>
  <si>
    <t>جدول رقم (15-3)</t>
  </si>
  <si>
    <r>
      <t xml:space="preserve"> Graph No. (7) </t>
    </r>
    <r>
      <rPr>
        <b/>
        <sz val="12"/>
        <rFont val="Arial"/>
        <family val="2"/>
      </rPr>
      <t>شكل رقم</t>
    </r>
  </si>
  <si>
    <t>(1) تشمل الأشخاص الذين يبحثون عن عمل وغير النشيطين إقتصاديا</t>
  </si>
  <si>
    <t xml:space="preserve">Grand Total  </t>
  </si>
  <si>
    <t xml:space="preserve">المجموع العام  </t>
  </si>
  <si>
    <t>No Occup. (1)</t>
  </si>
  <si>
    <t>Not Known</t>
  </si>
  <si>
    <t>الأفراد الذين لم يصنفوا حسب المهنة</t>
  </si>
  <si>
    <t>المهن العادية</t>
  </si>
  <si>
    <t>العمال المهرة في الزراعة وصيدالاسماك</t>
  </si>
  <si>
    <t>العاملون في الخدمات والباعة في المحلات التجارية والأسواق</t>
  </si>
  <si>
    <t>الكتبة</t>
  </si>
  <si>
    <t>الفنيون والاختصاصيون المساعدون</t>
  </si>
  <si>
    <t>الاختصاصيون</t>
  </si>
  <si>
    <t>G.Total</t>
  </si>
  <si>
    <t>المجموع العام</t>
  </si>
  <si>
    <t>Occupation of Husband</t>
  </si>
  <si>
    <r>
      <rPr>
        <b/>
        <sz val="12"/>
        <rFont val="Arial"/>
        <family val="2"/>
      </rPr>
      <t xml:space="preserve"> مهنة الزوجة</t>
    </r>
    <r>
      <rPr>
        <b/>
        <sz val="10"/>
        <rFont val="Arial"/>
        <family val="2"/>
      </rPr>
      <t xml:space="preserve">  Occupation of Wife</t>
    </r>
  </si>
  <si>
    <t>مهنة الزوج</t>
  </si>
  <si>
    <t>Table No. (16-1)</t>
  </si>
  <si>
    <t>جدول رقم (16-1)</t>
  </si>
  <si>
    <t>MARRIAGES BY WIFE AND HUSBAND OCCUPATION</t>
  </si>
  <si>
    <t>عقود الزواج حسب مهنة الزوجة والزوج</t>
  </si>
  <si>
    <t>Table No. (16-2)</t>
  </si>
  <si>
    <t>جدول رقم (16-2)</t>
  </si>
  <si>
    <t>الجنسية</t>
  </si>
  <si>
    <t>بدون مهنة
 No Occup</t>
  </si>
  <si>
    <t>الأفراد الذين لم يصنفوا حسب المهنة
Not Known</t>
  </si>
  <si>
    <t>المهن العادية
 Elementary Occupations</t>
  </si>
  <si>
    <t>مشغلو الالات والمعدات ومجمعوها
PLANT AND MACHINE OPERATORS AND ASSEMBLERS</t>
  </si>
  <si>
    <t>العاملون في الحرف وما اليها من المهن
CRAFT AND RELATED TRADES WORKERS</t>
  </si>
  <si>
    <t>العمال المهرة في الزراعة وصيدالاسماك
Skilled Agricultural And Fishery Workers</t>
  </si>
  <si>
    <t>العاملون في الخدمات والباعة في المحلات التجارية والأسواق
Service Workers And Shop And Market Sales Workers</t>
  </si>
  <si>
    <t>الكتبة
Clerks</t>
  </si>
  <si>
    <t>الفنيون والاختصاصيون المساعدون
Technicians And Associate Professionals</t>
  </si>
  <si>
    <t>الاختصاصيون
Professionals</t>
  </si>
  <si>
    <t>Table No. (16-3)</t>
  </si>
  <si>
    <t>جدول رقم (16-3)</t>
  </si>
  <si>
    <r>
      <t xml:space="preserve"> Graph No. (8) </t>
    </r>
    <r>
      <rPr>
        <b/>
        <sz val="12"/>
        <rFont val="Arial"/>
        <family val="2"/>
      </rPr>
      <t>شكل رقم</t>
    </r>
  </si>
  <si>
    <t>Table No. (17-1)</t>
  </si>
  <si>
    <t>جدول رقم (17-1)</t>
  </si>
  <si>
    <t>Relation From First Class القرابة من الدرجة الأولى</t>
  </si>
  <si>
    <t>MARRIAGES FOR QATARIS ACCORDING TO THE RELATIONS,
 AGE GROUP OF WIFE AND HUSBAND</t>
  </si>
  <si>
    <t>عقود الزواج للقطريين حسب صلة القرابة وفئة عمر الزوجة والزوج</t>
  </si>
  <si>
    <t>Table No. (17-2)</t>
  </si>
  <si>
    <t>جدول رقم (17-2)</t>
  </si>
  <si>
    <t>Relation From Second Class القرابة من الدرجة الثانية</t>
  </si>
  <si>
    <t>Table No. (17-3)</t>
  </si>
  <si>
    <t>جدول رقم (17-3)</t>
  </si>
  <si>
    <t>No Relation لا توجد صلة قرابة</t>
  </si>
  <si>
    <t>الزوج غير قطري والزوجة غير قطرية</t>
  </si>
  <si>
    <t>الزوج غير قطري والزوجة قطرية</t>
  </si>
  <si>
    <t>الزوج قطرية والزوجة غير قطرية</t>
  </si>
  <si>
    <t>الزوج قطري والزوجة قطرية</t>
  </si>
  <si>
    <t>عدد الحالات
No. of cases</t>
  </si>
  <si>
    <t>No. of sons</t>
  </si>
  <si>
    <t>عدد الأبناء</t>
  </si>
  <si>
    <t>No. of cases</t>
  </si>
  <si>
    <t>عدد الحالات</t>
  </si>
  <si>
    <t>Non-Qatari Husband &amp; Non-Qatari Wife</t>
  </si>
  <si>
    <t>Non-Qatari Husband &amp; Qatari Wife</t>
  </si>
  <si>
    <t>Qatari Husband &amp; Non-Qatari Wife</t>
  </si>
  <si>
    <t>الزوج قطري والزوجة غير قطرية</t>
  </si>
  <si>
    <t>Qatari Husband &amp; Qatari Wife</t>
  </si>
  <si>
    <t>Nationality</t>
  </si>
  <si>
    <t>Particulars</t>
  </si>
  <si>
    <t>البيـــان</t>
  </si>
  <si>
    <r>
      <t xml:space="preserve"> Graph No. (9) </t>
    </r>
    <r>
      <rPr>
        <b/>
        <sz val="12"/>
        <rFont val="Arial"/>
        <family val="2"/>
      </rPr>
      <t>شكل رقم</t>
    </r>
  </si>
  <si>
    <t>جدول رقم (19)</t>
  </si>
  <si>
    <r>
      <t xml:space="preserve"> Graph No. (10) </t>
    </r>
    <r>
      <rPr>
        <b/>
        <sz val="12"/>
        <rFont val="Arial"/>
        <family val="2"/>
      </rPr>
      <t>شكل رقم</t>
    </r>
  </si>
  <si>
    <t>جدول رقم (20)</t>
  </si>
  <si>
    <t>Graph No. (11) شكل رقم</t>
  </si>
  <si>
    <r>
      <t xml:space="preserve">قطري  </t>
    </r>
    <r>
      <rPr>
        <sz val="8"/>
        <rFont val="Arial"/>
        <family val="2"/>
      </rPr>
      <t>Qatari</t>
    </r>
  </si>
  <si>
    <r>
      <t xml:space="preserve">غير قطري </t>
    </r>
    <r>
      <rPr>
        <sz val="8"/>
        <rFont val="Arial"/>
        <family val="2"/>
      </rPr>
      <t>Non Qatari</t>
    </r>
  </si>
  <si>
    <t>جدول رقم (21)</t>
  </si>
  <si>
    <t>DIVORCES BY NATIONALITY OF HUSBAND, NATIONALITY
OF WIFE AND MONTH</t>
  </si>
  <si>
    <t>إشهادات الطلاق حسب جنسية الزوج والزوجة والشهر</t>
  </si>
  <si>
    <r>
      <t xml:space="preserve"> Graph No. (12) </t>
    </r>
    <r>
      <rPr>
        <b/>
        <sz val="12"/>
        <rFont val="Arial"/>
        <family val="2"/>
      </rPr>
      <t>شكل رقم</t>
    </r>
  </si>
  <si>
    <t>Percentage of type of divorce</t>
  </si>
  <si>
    <t>النسبة المئوية لنوع الطلاق</t>
  </si>
  <si>
    <t>نوع الطلاق Type of Divorce</t>
  </si>
  <si>
    <t>DIVORCES BY TYPE OF DIVORCE AND NATIONALITY OF HUSBAND</t>
  </si>
  <si>
    <t>إشهادات الطلاق حسب نوع الطلاق وجنسية الزوج</t>
  </si>
  <si>
    <r>
      <t xml:space="preserve"> Graph No. (13) </t>
    </r>
    <r>
      <rPr>
        <b/>
        <sz val="12"/>
        <rFont val="Arial"/>
        <family val="2"/>
      </rPr>
      <t>شكل رقم</t>
    </r>
  </si>
  <si>
    <r>
      <t xml:space="preserve"> Graph No. (14) </t>
    </r>
    <r>
      <rPr>
        <b/>
        <sz val="12"/>
        <rFont val="Arial"/>
        <family val="2"/>
      </rPr>
      <t>شكل رقم</t>
    </r>
  </si>
  <si>
    <t>Age Group of Husband
in Years</t>
  </si>
  <si>
    <t>فئة عمر الزوج بالسنوات</t>
  </si>
  <si>
    <t>DIVORCES BY TYPE OF DIVORCE AND AGE GROUP OF HUSBAND</t>
  </si>
  <si>
    <t>إشهادات الطلاق حسب نوع الطلاق وفئة عمر الزوج</t>
  </si>
  <si>
    <t>Age Group of Wife
(In Years)</t>
  </si>
  <si>
    <t>فئة عمر الزوجة بالسنوات</t>
  </si>
  <si>
    <t>DIVORCES BY TYPE OF DIVORCE AND AGE GROUP OF WIFE</t>
  </si>
  <si>
    <t>إشهادات الطلاق حسب نوع الطلاق وفئة عمر الزوجة</t>
  </si>
  <si>
    <t>Percentage Type of Divorce</t>
  </si>
  <si>
    <t>النسبة لنوع الطلاق</t>
  </si>
  <si>
    <t>25 +</t>
  </si>
  <si>
    <t>10-14</t>
  </si>
  <si>
    <t>5-9</t>
  </si>
  <si>
    <t>Before Consummation</t>
  </si>
  <si>
    <t>قبل الدخول</t>
  </si>
  <si>
    <t>Duration of Marriage
In Years</t>
  </si>
  <si>
    <t>مدة الحياة الزواجية بالسنوات</t>
  </si>
  <si>
    <t>Table No (25-1)</t>
  </si>
  <si>
    <t>جدول رقم (25-1)</t>
  </si>
  <si>
    <t>DIVORCES BY TYPE OF DIVORCE AND DURATION OF MARRIAGE OF HUSBAND</t>
  </si>
  <si>
    <t>إشهادات الطلاق حسب نوع الطلاق ومدة الحياة الزواجية للزوج</t>
  </si>
  <si>
    <t>Table No (25-2)</t>
  </si>
  <si>
    <t>جدول رقم (25-2)</t>
  </si>
  <si>
    <t>Table No (25-3)</t>
  </si>
  <si>
    <t>جدول رقم (25-3)</t>
  </si>
  <si>
    <t>Table No (26-1)</t>
  </si>
  <si>
    <t>جدول رقم (26-1)</t>
  </si>
  <si>
    <t>DIVORCES BY TYPE OF DIVORCE AND DURATION OF MARRIAGE OF WIFE</t>
  </si>
  <si>
    <t>إشهادات الطلاق حسب نوع الطلاق ومدة الحياة الزواجية للزوجة</t>
  </si>
  <si>
    <t>Table No (26-2)</t>
  </si>
  <si>
    <t>جدول رقم (26-2)</t>
  </si>
  <si>
    <t>Table No (26-3)</t>
  </si>
  <si>
    <t>جدول رقم (26-3)</t>
  </si>
  <si>
    <t xml:space="preserve">(1) مدة الحياة الزواجية للزواج الأخير فقط </t>
  </si>
  <si>
    <t>Age Group of Husband
(In Years)</t>
  </si>
  <si>
    <t>DIVORCES BY DURATION OF MARRIAGE AND AGE GROUP OF HUSBAND</t>
  </si>
  <si>
    <t>إشهادات الطلاق حسب مدة الحياة الزواجية وفئة عمر الزوج</t>
  </si>
  <si>
    <t xml:space="preserve"> Duration of Marriages In Years (1) مدة الحياة الزواجية بالسنوات</t>
  </si>
  <si>
    <t>DIVORCES BY DURATION OF MARRIAGE AND AGE GROUP OF WIFE</t>
  </si>
  <si>
    <t>إشهادات الطلاق حسب مدة الحياة الزواجية وفئة عمر الزوجة</t>
  </si>
  <si>
    <t xml:space="preserve"> Age Group
 of Husband (in Years)</t>
  </si>
  <si>
    <t>DIVORCES BY AGE GROUP OF WIFE AND HUSBAND</t>
  </si>
  <si>
    <t>إشهادات الطلاق حسب فئة عمر الزوجة والزوج</t>
  </si>
  <si>
    <t>DIVORCES BY HUSBAND AGE GROUP AND NATIONALITY</t>
  </si>
  <si>
    <t>إشهادات الطلاق حسب فئة عمر الزوج وجنسيته</t>
  </si>
  <si>
    <t>DIVORCES BY WIFE AGE GROUP AND NATIONALITY</t>
  </si>
  <si>
    <t>إشهادات الطلاق حسب فئة عمر الزوجة وجنسيتها</t>
  </si>
  <si>
    <t>بافي دول مجلس التعاون
Other G.C.C. Countries</t>
  </si>
  <si>
    <t>DIVORCES BY NATIONALITY OF WIFE AND HUSBAND</t>
  </si>
  <si>
    <t>إشهادات الطلاق حسب جنسية الزوجة والزوج</t>
  </si>
  <si>
    <r>
      <t xml:space="preserve"> Graph No. (15) </t>
    </r>
    <r>
      <rPr>
        <b/>
        <sz val="12"/>
        <rFont val="Arial"/>
        <family val="2"/>
      </rPr>
      <t>شكل رقم</t>
    </r>
  </si>
  <si>
    <t>عدد الزوجات الباقيات بالعصمة Number of Wives</t>
  </si>
  <si>
    <t>DIVORCES BY EDUCATIONAL STATUS OF WIFE AND HUSBAND</t>
  </si>
  <si>
    <t>إشهادات الطلاق حسب الحالة التعليمية للزوجة والزوج</t>
  </si>
  <si>
    <r>
      <t xml:space="preserve"> Graph No. (16) </t>
    </r>
    <r>
      <rPr>
        <b/>
        <sz val="12"/>
        <rFont val="Arial"/>
        <family val="2"/>
      </rPr>
      <t>شكل رقم</t>
    </r>
  </si>
  <si>
    <t>Age Group of Wife In Years</t>
  </si>
  <si>
    <t>DIVORCES BY EDUCATIONAL STATUS OF WIFE HER AGE GROUP</t>
  </si>
  <si>
    <t>إشهادات الطلاق حسب الحالة التعليمية للزوجة وفئة عمرها</t>
  </si>
  <si>
    <t>إشهادات الطلاق حسب مهنة الزوجة والزوج</t>
  </si>
  <si>
    <r>
      <t xml:space="preserve"> Graph No. (17) </t>
    </r>
    <r>
      <rPr>
        <b/>
        <sz val="12"/>
        <rFont val="Arial"/>
        <family val="2"/>
      </rPr>
      <t>شكل رقم</t>
    </r>
  </si>
  <si>
    <t>إشهادات الطلاق للزوج
 Husband's Divorces</t>
  </si>
  <si>
    <t>إشهادات الطلاق للزوجة
 Wife's Divorces</t>
  </si>
  <si>
    <t>القرابة من الدرجة الأولى  Relation of first class</t>
  </si>
  <si>
    <t>DIVORCES OF QATARI  ACCORDING TO RELATION AND AGE GROUP OF WIFE AND HUSBAND</t>
  </si>
  <si>
    <t xml:space="preserve">إشهادات الطلاق للقطريين حسب صلة القرابة وفئة عمر الزوج والزوجة </t>
  </si>
  <si>
    <r>
      <t xml:space="preserve"> Graph No. (18) </t>
    </r>
    <r>
      <rPr>
        <b/>
        <sz val="12"/>
        <rFont val="Arial"/>
        <family val="2"/>
      </rPr>
      <t>شكل رقم</t>
    </r>
  </si>
  <si>
    <t>القرابة من الدرجة الثانية  Relation of second class</t>
  </si>
  <si>
    <r>
      <t xml:space="preserve"> Graph No. (19) </t>
    </r>
    <r>
      <rPr>
        <b/>
        <sz val="12"/>
        <rFont val="Arial"/>
        <family val="2"/>
      </rPr>
      <t>شكل رقم</t>
    </r>
  </si>
  <si>
    <t xml:space="preserve">لا توجد صلة قرابة No Relation </t>
  </si>
  <si>
    <r>
      <t xml:space="preserve"> Graph No. (20) </t>
    </r>
    <r>
      <rPr>
        <b/>
        <sz val="12"/>
        <rFont val="Arial"/>
        <family val="2"/>
      </rPr>
      <t>شكل رقم</t>
    </r>
  </si>
  <si>
    <t xml:space="preserve">النسبة </t>
  </si>
  <si>
    <t xml:space="preserve">عدد الأبناء للمطلقة حسب فئة عمرالزوج والزوجة </t>
  </si>
  <si>
    <r>
      <t xml:space="preserve"> Graph No. (21) </t>
    </r>
    <r>
      <rPr>
        <b/>
        <sz val="12"/>
        <rFont val="Arial"/>
        <family val="2"/>
      </rPr>
      <t>شكل رقم</t>
    </r>
  </si>
  <si>
    <r>
      <t xml:space="preserve"> Graph No. (22) </t>
    </r>
    <r>
      <rPr>
        <b/>
        <sz val="12"/>
        <rFont val="Arial"/>
        <family val="2"/>
      </rPr>
      <t>شكل رقم</t>
    </r>
  </si>
  <si>
    <t>Table No. (39-1)</t>
  </si>
  <si>
    <t>جدول رقم (39-1)</t>
  </si>
  <si>
    <t xml:space="preserve">Percentage </t>
  </si>
  <si>
    <t>Table No. (39-2)</t>
  </si>
  <si>
    <t>جدول رقم (39-2)</t>
  </si>
  <si>
    <r>
      <t xml:space="preserve"> Graph No. (24) </t>
    </r>
    <r>
      <rPr>
        <b/>
        <sz val="12"/>
        <rFont val="Arial"/>
        <family val="2"/>
      </rPr>
      <t>شكل رقم</t>
    </r>
  </si>
  <si>
    <t xml:space="preserve"> Duration of Marriage for Husband</t>
  </si>
  <si>
    <t>مدة الحياة الزواجية للزوج</t>
  </si>
  <si>
    <t>Table No. (7)</t>
  </si>
  <si>
    <t>Table No. (5)</t>
  </si>
  <si>
    <t>Table No. (4)</t>
  </si>
  <si>
    <t>Table No. (3)</t>
  </si>
  <si>
    <t xml:space="preserve">Table No. (1)                                                         </t>
  </si>
  <si>
    <t>جدول رقم (10)</t>
  </si>
  <si>
    <t>Table No. (10)</t>
  </si>
  <si>
    <t>جدول رقم (18-1)</t>
  </si>
  <si>
    <t>Table No. (18-1)</t>
  </si>
  <si>
    <t>جدول رقم (18-3)</t>
  </si>
  <si>
    <t>Table No. (18-3)</t>
  </si>
  <si>
    <t>جدول رقم (18-2)</t>
  </si>
  <si>
    <t>Table No. (18-2)</t>
  </si>
  <si>
    <t>Table No. (19)</t>
  </si>
  <si>
    <t>Table No. (20)</t>
  </si>
  <si>
    <t>Table No. (21)</t>
  </si>
  <si>
    <t>جدول رقم (23)</t>
  </si>
  <si>
    <t>Table No. (23)</t>
  </si>
  <si>
    <t>جدول رقم (24)</t>
  </si>
  <si>
    <t>Table No. (24)</t>
  </si>
  <si>
    <t>NOT REGISTERED MARRIAGES AND DIVORCES
BY  NATIONALITY</t>
  </si>
  <si>
    <t xml:space="preserve">Table No. (2)                                                         </t>
  </si>
  <si>
    <t>جدول رقم (35)</t>
  </si>
  <si>
    <t>Table No. (35)</t>
  </si>
  <si>
    <t>جدول رقم (40-1)</t>
  </si>
  <si>
    <t>Table No. (40-1)</t>
  </si>
  <si>
    <t>جدول رقم (40-3)</t>
  </si>
  <si>
    <t>Table No. (40-3)</t>
  </si>
  <si>
    <t>جدول رقم (40-2)</t>
  </si>
  <si>
    <t>Table No. (40-2)</t>
  </si>
  <si>
    <t>جدول رقم (41-1)</t>
  </si>
  <si>
    <t>Table No. (41-1)</t>
  </si>
  <si>
    <t>جدول رقم (41-3)</t>
  </si>
  <si>
    <t>Table No. (41-3)</t>
  </si>
  <si>
    <t>جدول رقم (41-2)</t>
  </si>
  <si>
    <t>Table No. (41-2)</t>
  </si>
  <si>
    <t>3</t>
  </si>
  <si>
    <t>5</t>
  </si>
  <si>
    <t>طالب الطلاق</t>
  </si>
  <si>
    <t>Bulletin Year</t>
  </si>
  <si>
    <t>Other G.C.C Countries</t>
  </si>
  <si>
    <t>Other Arab Countries</t>
  </si>
  <si>
    <t>Asian Countries</t>
  </si>
  <si>
    <t>European  Countries</t>
  </si>
  <si>
    <t>Other Countries</t>
  </si>
  <si>
    <t>-20</t>
  </si>
  <si>
    <t>-1</t>
  </si>
  <si>
    <t>1</t>
  </si>
  <si>
    <t>2</t>
  </si>
  <si>
    <t>25+</t>
  </si>
  <si>
    <t>الدوحة</t>
  </si>
  <si>
    <t>الريان</t>
  </si>
  <si>
    <t>الوكرة</t>
  </si>
  <si>
    <t>ام صلال</t>
  </si>
  <si>
    <t>الخور</t>
  </si>
  <si>
    <t>الشمال</t>
  </si>
  <si>
    <r>
      <t>المجموع</t>
    </r>
    <r>
      <rPr>
        <b/>
        <sz val="8"/>
        <rFont val="Arial"/>
        <family val="2"/>
      </rPr>
      <t xml:space="preserve">
Total</t>
    </r>
  </si>
  <si>
    <r>
      <rPr>
        <b/>
        <sz val="12"/>
        <rFont val="Arial"/>
        <family val="2"/>
      </rPr>
      <t>فئة عمر الزوجة  بالسنوات</t>
    </r>
    <r>
      <rPr>
        <b/>
        <sz val="10"/>
        <rFont val="Arial"/>
        <family val="2"/>
      </rPr>
      <t xml:space="preserve">   Age Group of Wife in years </t>
    </r>
  </si>
  <si>
    <t>غير مبين 
Not Stated</t>
  </si>
  <si>
    <t>Divorce Inditiator</t>
  </si>
  <si>
    <t>الزوج</t>
  </si>
  <si>
    <t>الزوجة</t>
  </si>
  <si>
    <t>Huband</t>
  </si>
  <si>
    <t>Wife</t>
  </si>
  <si>
    <t>إشهادات الطلاق حسب نوع الطلاق وطالب الطلاق وجنسية الزوج والزوجة</t>
  </si>
  <si>
    <t>نــوع الطـــلاق Divorce type</t>
  </si>
  <si>
    <t>General Total</t>
  </si>
  <si>
    <r>
      <rPr>
        <b/>
        <sz val="12"/>
        <rFont val="Arial"/>
        <family val="2"/>
      </rPr>
      <t xml:space="preserve">طالب الطلاق </t>
    </r>
    <r>
      <rPr>
        <b/>
        <sz val="10"/>
        <rFont val="Arial"/>
        <family val="2"/>
      </rPr>
      <t>Divrorce Initiator</t>
    </r>
  </si>
  <si>
    <t>إشهادات الطلاق حسب جنسية الزوج والزوجة وعدد طالبي الطلاق ومدة الحياة الزواجية للزوج</t>
  </si>
  <si>
    <t>المجموع
Total</t>
  </si>
  <si>
    <t>No. of children</t>
  </si>
  <si>
    <t>عدد الأبناء للمطلقة من الزوج الحالي حسب جنسية الزوجة</t>
  </si>
  <si>
    <t>عدد الأبناء للمطلقة من الأزواج السابقين حسب جنسية الزوجة</t>
  </si>
  <si>
    <t>جدول رقم (27)</t>
  </si>
  <si>
    <t>Table No. (27)</t>
  </si>
  <si>
    <t>جدول رقم (32-1)</t>
  </si>
  <si>
    <t>Table No (32-1)</t>
  </si>
  <si>
    <t>جدول رقم (32-3)</t>
  </si>
  <si>
    <t>Table No (32-3)</t>
  </si>
  <si>
    <t>جدول رقم (32-2)</t>
  </si>
  <si>
    <t>Table No (32-2)</t>
  </si>
  <si>
    <t>جدول رقم (33-3)</t>
  </si>
  <si>
    <t>جدول رقم (33-2)</t>
  </si>
  <si>
    <t>جدول رقم (33-1)</t>
  </si>
  <si>
    <t>جدول رقم (36)</t>
  </si>
  <si>
    <t>Table No. (36)</t>
  </si>
  <si>
    <t>جدول رقم (42-1)</t>
  </si>
  <si>
    <t>Table No. (42-1)</t>
  </si>
  <si>
    <t>جدول رقم (42-3)</t>
  </si>
  <si>
    <t>Table No. (42-3)</t>
  </si>
  <si>
    <t>جدول رقم (42-2)</t>
  </si>
  <si>
    <t>Table No. (42-2)</t>
  </si>
  <si>
    <t>جدول رقم (43-1)</t>
  </si>
  <si>
    <t>Table No. (43-1)</t>
  </si>
  <si>
    <t>جدول رقم (43-3)</t>
  </si>
  <si>
    <t>Table No. (43-3)</t>
  </si>
  <si>
    <t>جدول رقم (43-2)</t>
  </si>
  <si>
    <t>Table No. (43-2)</t>
  </si>
  <si>
    <t>جدول رقم (45)</t>
  </si>
  <si>
    <t>Table No. (45)</t>
  </si>
  <si>
    <t>جدول رقم (46)</t>
  </si>
  <si>
    <t>Table No. (46)</t>
  </si>
  <si>
    <t>جدول رقم (47)</t>
  </si>
  <si>
    <t>Table No. (47)</t>
  </si>
  <si>
    <t>جدول رقم (31-1)</t>
  </si>
  <si>
    <t>Table No (31-1)</t>
  </si>
  <si>
    <t>جدول رقم (31-3)</t>
  </si>
  <si>
    <t>Table No (31-3)</t>
  </si>
  <si>
    <t>جدول رقم (31-2)</t>
  </si>
  <si>
    <t>Table No (31-2)</t>
  </si>
  <si>
    <t>جدول رقم (28-1)</t>
  </si>
  <si>
    <t>Table No (28-1)</t>
  </si>
  <si>
    <t>جدول رقم (28-3)</t>
  </si>
  <si>
    <t>Table No (28-3)</t>
  </si>
  <si>
    <t>جدول رقم (28-2)</t>
  </si>
  <si>
    <t>Table No (28-2)</t>
  </si>
  <si>
    <t>جدول رقم (29)</t>
  </si>
  <si>
    <t>Table No. (29)</t>
  </si>
  <si>
    <t>جدول رقم (30-1)</t>
  </si>
  <si>
    <t>Table No (30-1)</t>
  </si>
  <si>
    <t>جدول رقم (30-3)</t>
  </si>
  <si>
    <t>Table No (30-3)</t>
  </si>
  <si>
    <t>جدول رقم (30-2)</t>
  </si>
  <si>
    <t>Table No (30-2)</t>
  </si>
  <si>
    <t>Table No. (33-1)</t>
  </si>
  <si>
    <t>Table No. (33-3)</t>
  </si>
  <si>
    <t>Table No. (33-2)</t>
  </si>
  <si>
    <t>جدول رقم (34)</t>
  </si>
  <si>
    <t>Table No. (34)</t>
  </si>
  <si>
    <t>جدول رقم (38-1)</t>
  </si>
  <si>
    <t>Table No. (38-1)</t>
  </si>
  <si>
    <t>جدول رقم (38-3)</t>
  </si>
  <si>
    <t>Table No. (38-3)</t>
  </si>
  <si>
    <t>جدول رقم (38-2)</t>
  </si>
  <si>
    <t>Table No. (38-2)</t>
  </si>
  <si>
    <t>جدول رقم (44)</t>
  </si>
  <si>
    <t>Table No. (44)</t>
  </si>
  <si>
    <t>جدول رقم (37)</t>
  </si>
  <si>
    <t>Table No. (37)</t>
  </si>
  <si>
    <t>عدد الأبناء للزوج الحالي فقط</t>
  </si>
  <si>
    <t>إشهادات الطلاق حسب عدد الزوجات الباقيات بالعصمة وجنسية الزوج وفئة عمره</t>
  </si>
  <si>
    <t>DIVORCES BY NUMBER OF WIVES AND NATIONALITY OF HUSBAND AND HIS AGE GROUP</t>
  </si>
  <si>
    <t xml:space="preserve">Number of children of the current husband </t>
  </si>
  <si>
    <t xml:space="preserve">DIVORCES BY NUMBER OF CHILDREN AND AGE GROUP OF WIFE </t>
  </si>
  <si>
    <t xml:space="preserve"> NUMBER OF CHILDREN OF DIVORCEE BY AGE GROUP OF HUSBAND AND WIFE </t>
  </si>
  <si>
    <r>
      <t xml:space="preserve"> Graph No. (23) </t>
    </r>
    <r>
      <rPr>
        <b/>
        <sz val="12"/>
        <rFont val="Arial"/>
        <family val="2"/>
      </rPr>
      <t>شكل رقم</t>
    </r>
  </si>
  <si>
    <t>عدد الأبناء
No. of children</t>
  </si>
  <si>
    <t>عدد الأبناء
No. of Children</t>
  </si>
  <si>
    <t>عدد الأبنــاء No. of Children</t>
  </si>
  <si>
    <t>الزوج قطري والزوجة قطرية
Qatari Husband &amp; Qatari Wife</t>
  </si>
  <si>
    <t>الزوج قطري والزوجة غير قطرية
Qatari Husband &amp; Non-Qatari Wife</t>
  </si>
  <si>
    <t>الزوج غير قطري والزوجة قطرية
Non-Qatari Husband &amp; Qatari Wife</t>
  </si>
  <si>
    <t>الزوج غير قطري والزوجة غير قطرية
Non-Qatari Husband &amp; Non-Qatari Wife</t>
  </si>
  <si>
    <t>بينونة صغرى
Minor irrevocable divorce</t>
  </si>
  <si>
    <t xml:space="preserve">رجعي
Revocable divorce </t>
  </si>
  <si>
    <t>خلع
Divorce against compensation</t>
  </si>
  <si>
    <t>بينونة كبرى
Major  irrevocable divorce</t>
  </si>
  <si>
    <t>الظعاين</t>
  </si>
  <si>
    <t>GENERAL MARRIAGE RATE BY NATIOANLITY &amp; GENDER PER 1000 POPULATION
(15 YEAR AND ABOVE)</t>
  </si>
  <si>
    <t>MARRIAGES BY NUMBER OF WIFE'S CHILDREN &amp; NATIONALITY OF HUSBAND &amp; WIFE</t>
  </si>
  <si>
    <r>
      <rPr>
        <b/>
        <sz val="10"/>
        <rFont val="Arial"/>
        <family val="2"/>
      </rPr>
      <t xml:space="preserve"> Duration of Marriages In Years (1)</t>
    </r>
    <r>
      <rPr>
        <b/>
        <sz val="11"/>
        <rFont val="Arial"/>
        <family val="2"/>
      </rPr>
      <t xml:space="preserve"> مدة الحياة الزواجية بالسنوات </t>
    </r>
  </si>
  <si>
    <r>
      <t xml:space="preserve"> Duration of Marriages In Years (1)</t>
    </r>
    <r>
      <rPr>
        <b/>
        <sz val="11"/>
        <rFont val="Arial"/>
        <family val="2"/>
      </rPr>
      <t xml:space="preserve"> مدة الحياة الزواجية بالسنوات </t>
    </r>
  </si>
  <si>
    <r>
      <t xml:space="preserve">فئة عمر الزوج  بالسنوات   </t>
    </r>
    <r>
      <rPr>
        <b/>
        <sz val="10"/>
        <rFont val="Arial"/>
        <family val="2"/>
      </rPr>
      <t xml:space="preserve">Age Group of Husband in years </t>
    </r>
  </si>
  <si>
    <t>DIVORCES BY NUMBER OF WIFE'S CHILDREN &amp; NATIONALITY OF HUSBAND &amp; WIFE</t>
  </si>
  <si>
    <t>دبلوم فوق الثانوي
Post Secondary</t>
  </si>
  <si>
    <t>0</t>
  </si>
  <si>
    <t>6+</t>
  </si>
  <si>
    <t>دبلوم فوق الثانوي</t>
  </si>
  <si>
    <t>Post Secondary</t>
  </si>
  <si>
    <t>DIVORCES  BY NATIONALITY OF HUSBAND, WIFE &amp; NUMBER OF WIFE'S CHILDREN  AND DURATION
 OF MARRIAGE FOR HUSBAND</t>
  </si>
  <si>
    <t>DIVORCES  BY HUSBAND AND WIFE, NATIONALITY, DIVORCE INITIATORS NUMBER  AND 
DURATION OF MARRIAGE FOR HUSBAND</t>
  </si>
  <si>
    <t xml:space="preserve"> </t>
  </si>
  <si>
    <t xml:space="preserve">عقود الزواج وإشهادات الطلاق المسجلة حسب جنسية الزوج </t>
  </si>
  <si>
    <t>عقود الزواج وإشهادات الطلاق لفاقدي القيد حسب الجنسية</t>
  </si>
  <si>
    <t>فاقدي القيد لعقود الزواج
Not Registered Marriages</t>
  </si>
  <si>
    <t>فاقدي القيد لإشهادات الطلاق
Not Registered Divorces</t>
  </si>
  <si>
    <t>REGISTERED MARRIAGES AND DIVORCES BY HUSBAND’S NATIONALITY</t>
  </si>
  <si>
    <t>DIVORCES BY TYPE, INITIATOR AND NATIONALITIES OF HUSBAND AND WIFE</t>
  </si>
  <si>
    <t>MARRIAGES BY NUMBER OF HUSBAND'S CHILDREN &amp; NATIOANLTIY OF HUSBAND &amp; WIFE</t>
  </si>
  <si>
    <t>AVERAGE AGE AT FIRST MARRIAGE</t>
  </si>
  <si>
    <t>معدلات الزواج والطلاق الخام لكل ألف من السكان</t>
  </si>
  <si>
    <t>معدل الزواج العام حسب الجنسية والنوع لكل ألف من السكان  (15 سنة فأكثر)</t>
  </si>
  <si>
    <t>عدد الأبناء للمطلقة حسب فئة عمر الزوج
Number of children of divorcee by age group of husband</t>
  </si>
  <si>
    <t>عدد الأبناء للمطلقة حسب فئة عمر الزوجة
Number of children of divorcee by age group of wife</t>
  </si>
  <si>
    <r>
      <t xml:space="preserve">البلدية
</t>
    </r>
    <r>
      <rPr>
        <sz val="11"/>
        <rFont val="Arial"/>
        <family val="2"/>
      </rPr>
      <t>مكان إقامة الزوج</t>
    </r>
  </si>
  <si>
    <t xml:space="preserve">NO. OF CHILDREN OF THE DIVORCEE FROM CURRENT
 HUSBANDS BY WIFE NATIONALITY    </t>
  </si>
  <si>
    <t>NO. OF CHILDREN OF THE DIVORCEE FROM PREVIOUS HUSBANDS
BY WIFE NATIONALITY</t>
  </si>
  <si>
    <t>الشحانية</t>
  </si>
  <si>
    <t>(0) حالة طلاق غير مبين عدد أبنائهم من الزوج الحالي فقط</t>
  </si>
  <si>
    <t>* تم توثيقها في دولة قطر</t>
  </si>
  <si>
    <t>* It has been documened in the State of Qatar</t>
  </si>
  <si>
    <t xml:space="preserve"> (0) Numbe of children of Divorce cases Not stated</t>
  </si>
  <si>
    <t>* عدد الأبناء للزوج الحالي فقط</t>
  </si>
  <si>
    <t xml:space="preserve">* Number of children of the current husband </t>
  </si>
  <si>
    <t>خارج قطر</t>
  </si>
  <si>
    <t>FIRST MARRIAGES OF HUSBAND AND WIFE BY AGE GROUP</t>
  </si>
  <si>
    <t>عقود الزواج الأول للزوج والزوجة حسب فئات العمر</t>
  </si>
  <si>
    <t>العمال المهرة في الزراعة وصيد الاسماك</t>
  </si>
  <si>
    <t>*عدد الأبنــاء No. of children *</t>
  </si>
  <si>
    <t>قطري</t>
  </si>
  <si>
    <t>Qatari</t>
  </si>
  <si>
    <t>غير قطري</t>
  </si>
  <si>
    <t>Non-Qatari</t>
  </si>
  <si>
    <t>Al Shahannia</t>
  </si>
  <si>
    <t>Outside Qatar</t>
  </si>
  <si>
    <r>
      <t xml:space="preserve">البلدية </t>
    </r>
    <r>
      <rPr>
        <sz val="11"/>
        <rFont val="Arial"/>
        <family val="2"/>
      </rPr>
      <t>(مكان إقامة الزوجة)</t>
    </r>
  </si>
  <si>
    <t>Table No. (6)</t>
  </si>
  <si>
    <t>جدول رقم (6)</t>
  </si>
  <si>
    <r>
      <t xml:space="preserve">جنسية الزوجة
</t>
    </r>
    <r>
      <rPr>
        <b/>
        <sz val="10"/>
        <rFont val="Arial"/>
        <family val="2"/>
      </rPr>
      <t>Nationality of Wife</t>
    </r>
  </si>
  <si>
    <r>
      <t xml:space="preserve">جنسية الزوج
</t>
    </r>
    <r>
      <rPr>
        <b/>
        <sz val="10"/>
        <rFont val="Arial"/>
        <family val="2"/>
      </rPr>
      <t>Nationality of Husband</t>
    </r>
  </si>
  <si>
    <r>
      <t xml:space="preserve">قطر
</t>
    </r>
    <r>
      <rPr>
        <b/>
        <sz val="9"/>
        <rFont val="Arial"/>
        <family val="2"/>
      </rPr>
      <t>QATAR</t>
    </r>
  </si>
  <si>
    <r>
      <t xml:space="preserve">النسبة المئوية لجنسية الزوج
</t>
    </r>
    <r>
      <rPr>
        <b/>
        <sz val="9"/>
        <rFont val="Arial"/>
        <family val="2"/>
      </rPr>
      <t xml:space="preserve">Percentage of Husband </t>
    </r>
  </si>
  <si>
    <r>
      <t>غير مبين</t>
    </r>
    <r>
      <rPr>
        <b/>
        <sz val="9"/>
        <rFont val="Arial"/>
        <family val="2"/>
      </rPr>
      <t xml:space="preserve">
Not Stated</t>
    </r>
  </si>
  <si>
    <r>
      <rPr>
        <b/>
        <sz val="11"/>
        <rFont val="Arial"/>
        <family val="2"/>
      </rPr>
      <t>المجموع</t>
    </r>
    <r>
      <rPr>
        <b/>
        <sz val="12"/>
        <rFont val="Arial"/>
        <family val="2"/>
      </rPr>
      <t xml:space="preserve">
</t>
    </r>
    <r>
      <rPr>
        <b/>
        <sz val="9"/>
        <rFont val="Arial"/>
        <family val="2"/>
      </rPr>
      <t>Total</t>
    </r>
  </si>
  <si>
    <r>
      <t xml:space="preserve">لا يوجد
</t>
    </r>
    <r>
      <rPr>
        <b/>
        <sz val="9"/>
        <rFont val="Arial"/>
        <family val="2"/>
      </rPr>
      <t>None</t>
    </r>
  </si>
  <si>
    <r>
      <t xml:space="preserve">لم يسبق له الزواج
</t>
    </r>
    <r>
      <rPr>
        <b/>
        <sz val="9"/>
        <rFont val="Arial"/>
        <family val="2"/>
      </rPr>
      <t>Never-Married</t>
    </r>
  </si>
  <si>
    <r>
      <t xml:space="preserve">متزوج
</t>
    </r>
    <r>
      <rPr>
        <b/>
        <sz val="9"/>
        <rFont val="Arial"/>
        <family val="2"/>
      </rPr>
      <t>Married</t>
    </r>
  </si>
  <si>
    <r>
      <t xml:space="preserve">مطلق
</t>
    </r>
    <r>
      <rPr>
        <b/>
        <sz val="9"/>
        <rFont val="Arial"/>
        <family val="2"/>
      </rPr>
      <t>Divorced</t>
    </r>
  </si>
  <si>
    <r>
      <t xml:space="preserve">أرمل
</t>
    </r>
    <r>
      <rPr>
        <b/>
        <sz val="9"/>
        <rFont val="Arial"/>
        <family val="2"/>
      </rPr>
      <t>Widowed</t>
    </r>
  </si>
  <si>
    <r>
      <t xml:space="preserve">غير مبين
</t>
    </r>
    <r>
      <rPr>
        <b/>
        <sz val="9"/>
        <rFont val="Arial"/>
        <family val="2"/>
      </rPr>
      <t>Not Stated</t>
    </r>
  </si>
  <si>
    <r>
      <t xml:space="preserve">لم يسبق لها الزواج
</t>
    </r>
    <r>
      <rPr>
        <b/>
        <sz val="9"/>
        <rFont val="Arial"/>
        <family val="2"/>
      </rPr>
      <t>Never-Married</t>
    </r>
  </si>
  <si>
    <r>
      <t xml:space="preserve">مطلقه
 </t>
    </r>
    <r>
      <rPr>
        <b/>
        <sz val="9"/>
        <rFont val="Arial"/>
        <family val="2"/>
      </rPr>
      <t>Divorced</t>
    </r>
  </si>
  <si>
    <r>
      <t xml:space="preserve">أرمله
 </t>
    </r>
    <r>
      <rPr>
        <b/>
        <sz val="9"/>
        <rFont val="Arial"/>
        <family val="2"/>
      </rPr>
      <t>Widowed</t>
    </r>
  </si>
  <si>
    <r>
      <t xml:space="preserve">الـزوج
</t>
    </r>
    <r>
      <rPr>
        <b/>
        <sz val="9"/>
        <rFont val="Arial"/>
        <family val="2"/>
      </rPr>
      <t>Husband</t>
    </r>
  </si>
  <si>
    <r>
      <t xml:space="preserve">الــزوجة
</t>
    </r>
    <r>
      <rPr>
        <b/>
        <sz val="9"/>
        <rFont val="Arial"/>
        <family val="2"/>
      </rPr>
      <t>Wife</t>
    </r>
  </si>
  <si>
    <r>
      <t>النسبة للزوج</t>
    </r>
    <r>
      <rPr>
        <sz val="10"/>
        <rFont val="Arial"/>
        <family val="2"/>
      </rPr>
      <t xml:space="preserve">
</t>
    </r>
    <r>
      <rPr>
        <b/>
        <sz val="9"/>
        <rFont val="Arial"/>
        <family val="2"/>
      </rPr>
      <t>Percentage of husband</t>
    </r>
  </si>
  <si>
    <r>
      <t>النسبة للزوج</t>
    </r>
    <r>
      <rPr>
        <sz val="10"/>
        <rFont val="Arial"/>
        <family val="2"/>
      </rPr>
      <t xml:space="preserve">
</t>
    </r>
    <r>
      <rPr>
        <b/>
        <sz val="9"/>
        <rFont val="Arial"/>
        <family val="2"/>
      </rPr>
      <t>Percentage Of Husband</t>
    </r>
  </si>
  <si>
    <r>
      <rPr>
        <b/>
        <sz val="11"/>
        <rFont val="Arial"/>
        <family val="2"/>
      </rPr>
      <t>المجموع</t>
    </r>
    <r>
      <rPr>
        <b/>
        <sz val="12"/>
        <rFont val="Arial"/>
        <family val="2"/>
      </rPr>
      <t xml:space="preserve">
</t>
    </r>
    <r>
      <rPr>
        <b/>
        <sz val="10"/>
        <rFont val="Arial"/>
        <family val="2"/>
      </rPr>
      <t>Total</t>
    </r>
  </si>
  <si>
    <r>
      <rPr>
        <b/>
        <sz val="11"/>
        <rFont val="Arial"/>
        <family val="2"/>
      </rPr>
      <t>جامعية فما فوق</t>
    </r>
    <r>
      <rPr>
        <b/>
        <sz val="12"/>
        <rFont val="Arial"/>
        <family val="2"/>
      </rPr>
      <t xml:space="preserve">
</t>
    </r>
    <r>
      <rPr>
        <b/>
        <sz val="9"/>
        <rFont val="Arial"/>
        <family val="2"/>
      </rPr>
      <t>Univ &amp; Above</t>
    </r>
  </si>
  <si>
    <r>
      <rPr>
        <b/>
        <sz val="11"/>
        <rFont val="Arial"/>
        <family val="2"/>
      </rPr>
      <t>دبلوم فوق الثانوي</t>
    </r>
    <r>
      <rPr>
        <b/>
        <sz val="12"/>
        <rFont val="Arial"/>
        <family val="2"/>
      </rPr>
      <t xml:space="preserve">
</t>
    </r>
    <r>
      <rPr>
        <b/>
        <sz val="9"/>
        <rFont val="Arial"/>
        <family val="2"/>
      </rPr>
      <t>Post Secondary</t>
    </r>
  </si>
  <si>
    <r>
      <rPr>
        <b/>
        <sz val="11"/>
        <rFont val="Arial"/>
        <family val="2"/>
      </rPr>
      <t>ثانوية</t>
    </r>
    <r>
      <rPr>
        <b/>
        <sz val="12"/>
        <rFont val="Arial"/>
        <family val="2"/>
      </rPr>
      <t xml:space="preserve">
</t>
    </r>
    <r>
      <rPr>
        <b/>
        <sz val="9"/>
        <rFont val="Arial"/>
        <family val="2"/>
      </rPr>
      <t>Secondary</t>
    </r>
  </si>
  <si>
    <r>
      <rPr>
        <b/>
        <sz val="11"/>
        <rFont val="Arial"/>
        <family val="2"/>
      </rPr>
      <t>إعدادية</t>
    </r>
    <r>
      <rPr>
        <b/>
        <sz val="12"/>
        <rFont val="Arial"/>
        <family val="2"/>
      </rPr>
      <t xml:space="preserve">
</t>
    </r>
    <r>
      <rPr>
        <b/>
        <sz val="9"/>
        <rFont val="Arial"/>
        <family val="2"/>
      </rPr>
      <t>Preparatory</t>
    </r>
  </si>
  <si>
    <r>
      <rPr>
        <b/>
        <sz val="11"/>
        <rFont val="Arial"/>
        <family val="2"/>
      </rPr>
      <t>إبتدائية</t>
    </r>
    <r>
      <rPr>
        <b/>
        <sz val="12"/>
        <rFont val="Arial"/>
        <family val="2"/>
      </rPr>
      <t xml:space="preserve">
</t>
    </r>
    <r>
      <rPr>
        <b/>
        <sz val="9"/>
        <rFont val="Arial"/>
        <family val="2"/>
      </rPr>
      <t>Primary</t>
    </r>
  </si>
  <si>
    <r>
      <rPr>
        <b/>
        <sz val="11"/>
        <rFont val="Arial"/>
        <family val="2"/>
      </rPr>
      <t>أمية</t>
    </r>
    <r>
      <rPr>
        <b/>
        <sz val="12"/>
        <rFont val="Arial"/>
        <family val="2"/>
      </rPr>
      <t xml:space="preserve">
</t>
    </r>
    <r>
      <rPr>
        <b/>
        <sz val="9"/>
        <rFont val="Arial"/>
        <family val="2"/>
      </rPr>
      <t>Illiterate</t>
    </r>
  </si>
  <si>
    <r>
      <rPr>
        <b/>
        <sz val="11"/>
        <rFont val="Arial"/>
        <family val="2"/>
      </rPr>
      <t>غير مبين</t>
    </r>
    <r>
      <rPr>
        <b/>
        <sz val="12"/>
        <rFont val="Arial"/>
        <family val="2"/>
      </rPr>
      <t xml:space="preserve">
</t>
    </r>
    <r>
      <rPr>
        <b/>
        <sz val="9"/>
        <rFont val="Arial"/>
        <family val="2"/>
      </rPr>
      <t>Not Stated</t>
    </r>
  </si>
  <si>
    <r>
      <rPr>
        <b/>
        <sz val="11"/>
        <rFont val="Arial"/>
        <family val="2"/>
      </rPr>
      <t>غير مبين</t>
    </r>
    <r>
      <rPr>
        <b/>
        <sz val="10"/>
        <rFont val="Arial"/>
        <family val="2"/>
      </rPr>
      <t xml:space="preserve">
</t>
    </r>
    <r>
      <rPr>
        <b/>
        <sz val="9"/>
        <rFont val="Arial"/>
        <family val="2"/>
      </rPr>
      <t>Not Stated</t>
    </r>
  </si>
  <si>
    <r>
      <rPr>
        <b/>
        <sz val="11"/>
        <rFont val="Arial"/>
        <family val="2"/>
      </rPr>
      <t>المجموع</t>
    </r>
    <r>
      <rPr>
        <b/>
        <sz val="10"/>
        <rFont val="Arial"/>
        <family val="2"/>
      </rPr>
      <t xml:space="preserve">
</t>
    </r>
    <r>
      <rPr>
        <b/>
        <sz val="9"/>
        <rFont val="Arial"/>
        <family val="2"/>
      </rPr>
      <t>Total</t>
    </r>
  </si>
  <si>
    <r>
      <t xml:space="preserve">النسبة </t>
    </r>
    <r>
      <rPr>
        <b/>
        <sz val="10"/>
        <rFont val="Arial"/>
        <family val="2"/>
      </rPr>
      <t xml:space="preserve">
</t>
    </r>
    <r>
      <rPr>
        <b/>
        <sz val="9"/>
        <rFont val="Arial"/>
        <family val="2"/>
      </rPr>
      <t>Percentage</t>
    </r>
  </si>
  <si>
    <r>
      <t xml:space="preserve">إشهادات الطلاق 
</t>
    </r>
    <r>
      <rPr>
        <b/>
        <sz val="9"/>
        <rFont val="Arial"/>
        <family val="2"/>
      </rPr>
      <t>Divorces</t>
    </r>
  </si>
  <si>
    <r>
      <t xml:space="preserve">معدل الطلاق العام
</t>
    </r>
    <r>
      <rPr>
        <b/>
        <sz val="9"/>
        <rFont val="Arial"/>
        <family val="2"/>
      </rPr>
      <t xml:space="preserve">General Dirovces Rates </t>
    </r>
  </si>
  <si>
    <r>
      <t xml:space="preserve">النسبة المئوية لفئة عمر الزوج
</t>
    </r>
    <r>
      <rPr>
        <b/>
        <sz val="9"/>
        <rFont val="Arial"/>
        <family val="2"/>
      </rPr>
      <t xml:space="preserve">Percentage of Husband </t>
    </r>
  </si>
  <si>
    <r>
      <t xml:space="preserve">النسبة المئوية لفئة عمر الزوج
</t>
    </r>
    <r>
      <rPr>
        <b/>
        <sz val="9"/>
        <rFont val="Arial"/>
        <family val="2"/>
      </rPr>
      <t>Percentage of Husband</t>
    </r>
    <r>
      <rPr>
        <sz val="8"/>
        <rFont val="Arial"/>
        <family val="2"/>
        <charset val="178"/>
      </rPr>
      <t xml:space="preserve"> </t>
    </r>
  </si>
  <si>
    <r>
      <t xml:space="preserve">النسبة المئوية لفئة عمر الزوجة
</t>
    </r>
    <r>
      <rPr>
        <b/>
        <sz val="9"/>
        <rFont val="Arial"/>
        <family val="2"/>
      </rPr>
      <t>Percentage of Wife</t>
    </r>
    <r>
      <rPr>
        <sz val="8"/>
        <rFont val="Arial"/>
        <family val="2"/>
        <charset val="178"/>
      </rPr>
      <t xml:space="preserve"> </t>
    </r>
  </si>
  <si>
    <r>
      <t xml:space="preserve">النسبة المئوية لفئة عمر الزوجة
</t>
    </r>
    <r>
      <rPr>
        <b/>
        <sz val="9"/>
        <rFont val="Arial"/>
        <family val="2"/>
      </rPr>
      <t>Percentage of Wif</t>
    </r>
    <r>
      <rPr>
        <sz val="8"/>
        <rFont val="Arial"/>
        <family val="2"/>
        <charset val="178"/>
      </rPr>
      <t xml:space="preserve"> </t>
    </r>
  </si>
  <si>
    <r>
      <t xml:space="preserve">النسبة المئوية
</t>
    </r>
    <r>
      <rPr>
        <b/>
        <sz val="9"/>
        <rFont val="Arial"/>
        <family val="2"/>
      </rPr>
      <t>Percentage</t>
    </r>
    <r>
      <rPr>
        <sz val="8"/>
        <rFont val="Arial"/>
        <family val="2"/>
        <charset val="178"/>
      </rPr>
      <t xml:space="preserve"> </t>
    </r>
  </si>
  <si>
    <r>
      <t>النسبة لمدة الحياة الزواجية</t>
    </r>
    <r>
      <rPr>
        <sz val="8"/>
        <rFont val="Arial"/>
        <family val="2"/>
        <charset val="178"/>
      </rPr>
      <t xml:space="preserve">
</t>
    </r>
    <r>
      <rPr>
        <b/>
        <sz val="9"/>
        <rFont val="Arial"/>
        <family val="2"/>
      </rPr>
      <t xml:space="preserve">Percentage of duration of marriage </t>
    </r>
  </si>
  <si>
    <r>
      <t>النسبة لمدة الحياة الزواجية</t>
    </r>
    <r>
      <rPr>
        <sz val="8"/>
        <rFont val="Arial"/>
        <family val="2"/>
        <charset val="178"/>
      </rPr>
      <t xml:space="preserve">
</t>
    </r>
    <r>
      <rPr>
        <b/>
        <sz val="9"/>
        <rFont val="Arial"/>
        <family val="2"/>
      </rPr>
      <t>Percentage of duration of marriage</t>
    </r>
  </si>
  <si>
    <r>
      <t>بينونة صغرى</t>
    </r>
    <r>
      <rPr>
        <b/>
        <sz val="10"/>
        <rFont val="Arial"/>
        <family val="2"/>
      </rPr>
      <t xml:space="preserve">
</t>
    </r>
    <r>
      <rPr>
        <b/>
        <sz val="9"/>
        <rFont val="Arial"/>
        <family val="2"/>
      </rPr>
      <t xml:space="preserve">Minor irrevocable divorce </t>
    </r>
  </si>
  <si>
    <r>
      <t xml:space="preserve">رجعي
</t>
    </r>
    <r>
      <rPr>
        <b/>
        <sz val="9"/>
        <rFont val="Arial"/>
        <family val="2"/>
      </rPr>
      <t xml:space="preserve">Revocable divorce </t>
    </r>
  </si>
  <si>
    <r>
      <t xml:space="preserve">خلع
</t>
    </r>
    <r>
      <rPr>
        <b/>
        <sz val="9"/>
        <rFont val="Arial"/>
        <family val="2"/>
      </rPr>
      <t>Divorce against compensation</t>
    </r>
  </si>
  <si>
    <r>
      <t>بينونة كبرى</t>
    </r>
    <r>
      <rPr>
        <b/>
        <sz val="10"/>
        <rFont val="Arial"/>
        <family val="2"/>
      </rPr>
      <t xml:space="preserve">
</t>
    </r>
    <r>
      <rPr>
        <b/>
        <sz val="9"/>
        <rFont val="Arial"/>
        <family val="2"/>
      </rPr>
      <t xml:space="preserve">Major  irrevocable divorce </t>
    </r>
  </si>
  <si>
    <r>
      <t xml:space="preserve"> الزوج قطري والزوجة قطرية
</t>
    </r>
    <r>
      <rPr>
        <b/>
        <sz val="9"/>
        <rFont val="Arial"/>
        <family val="2"/>
      </rPr>
      <t>Qatari Husband &amp; Qatari Wife</t>
    </r>
  </si>
  <si>
    <r>
      <t xml:space="preserve"> الزوج قطري والزوجة غير قطرية
</t>
    </r>
    <r>
      <rPr>
        <b/>
        <sz val="9"/>
        <rFont val="Arial"/>
        <family val="2"/>
      </rPr>
      <t>Qatari Husband &amp; Non-Qatari Wife</t>
    </r>
  </si>
  <si>
    <r>
      <t xml:space="preserve"> الزوج غير قطري والزوجة قطرية
</t>
    </r>
    <r>
      <rPr>
        <b/>
        <sz val="9"/>
        <rFont val="Arial"/>
        <family val="2"/>
      </rPr>
      <t>Non-Qatari Husband &amp; Qatari Wife</t>
    </r>
  </si>
  <si>
    <r>
      <t xml:space="preserve"> الزوج غير قطري والزوجة غير قطرية
</t>
    </r>
    <r>
      <rPr>
        <b/>
        <sz val="9"/>
        <rFont val="Arial"/>
        <family val="2"/>
      </rPr>
      <t>Non-Qatari Husband &amp; Non-Qatari Wife</t>
    </r>
  </si>
  <si>
    <r>
      <rPr>
        <b/>
        <sz val="10"/>
        <rFont val="Arial"/>
        <family val="2"/>
      </rPr>
      <t>الزوج</t>
    </r>
    <r>
      <rPr>
        <b/>
        <sz val="12"/>
        <rFont val="Arial"/>
        <family val="2"/>
      </rPr>
      <t xml:space="preserve">
</t>
    </r>
    <r>
      <rPr>
        <b/>
        <sz val="9"/>
        <rFont val="Arial"/>
        <family val="2"/>
      </rPr>
      <t>Husband</t>
    </r>
  </si>
  <si>
    <r>
      <rPr>
        <b/>
        <sz val="10"/>
        <rFont val="Arial"/>
        <family val="2"/>
      </rPr>
      <t>الزوجة</t>
    </r>
    <r>
      <rPr>
        <b/>
        <sz val="12"/>
        <rFont val="Arial"/>
        <family val="2"/>
      </rPr>
      <t xml:space="preserve">
</t>
    </r>
    <r>
      <rPr>
        <b/>
        <sz val="9"/>
        <rFont val="Arial"/>
        <family val="2"/>
      </rPr>
      <t>Wife</t>
    </r>
  </si>
  <si>
    <r>
      <rPr>
        <b/>
        <sz val="10"/>
        <rFont val="Arial"/>
        <family val="2"/>
      </rPr>
      <t>غير مبين</t>
    </r>
    <r>
      <rPr>
        <b/>
        <sz val="12"/>
        <rFont val="Arial"/>
        <family val="2"/>
      </rPr>
      <t xml:space="preserve">
</t>
    </r>
    <r>
      <rPr>
        <b/>
        <sz val="9"/>
        <rFont val="Arial"/>
        <family val="2"/>
      </rPr>
      <t>Not Stated</t>
    </r>
  </si>
  <si>
    <r>
      <t xml:space="preserve"> المجموع
</t>
    </r>
    <r>
      <rPr>
        <b/>
        <sz val="10"/>
        <rFont val="Arial"/>
        <family val="2"/>
      </rPr>
      <t>Total</t>
    </r>
  </si>
  <si>
    <r>
      <t xml:space="preserve">المجموع العام
</t>
    </r>
    <r>
      <rPr>
        <b/>
        <sz val="10"/>
        <rFont val="Arial"/>
        <family val="2"/>
      </rPr>
      <t>G.Total</t>
    </r>
  </si>
  <si>
    <r>
      <t>بينونة صغرى</t>
    </r>
    <r>
      <rPr>
        <sz val="10"/>
        <rFont val="Arial"/>
        <family val="2"/>
        <charset val="178"/>
      </rPr>
      <t xml:space="preserve">
</t>
    </r>
    <r>
      <rPr>
        <b/>
        <sz val="9"/>
        <rFont val="Arial"/>
        <family val="2"/>
      </rPr>
      <t xml:space="preserve">Minor irrevocable divorce </t>
    </r>
  </si>
  <si>
    <r>
      <t>بينونة كبرى</t>
    </r>
    <r>
      <rPr>
        <sz val="10"/>
        <rFont val="Arial"/>
        <family val="2"/>
        <charset val="178"/>
      </rPr>
      <t xml:space="preserve">
</t>
    </r>
    <r>
      <rPr>
        <b/>
        <sz val="9"/>
        <rFont val="Arial"/>
        <family val="2"/>
      </rPr>
      <t xml:space="preserve">Major irrevocable divorce </t>
    </r>
  </si>
  <si>
    <r>
      <t>قبل الدخول</t>
    </r>
    <r>
      <rPr>
        <sz val="10"/>
        <rFont val="Arial"/>
        <family val="2"/>
      </rPr>
      <t xml:space="preserve">
</t>
    </r>
    <r>
      <rPr>
        <b/>
        <sz val="9"/>
        <rFont val="Arial"/>
        <family val="2"/>
      </rPr>
      <t>B.Cons.</t>
    </r>
  </si>
  <si>
    <r>
      <t>غير مبين</t>
    </r>
    <r>
      <rPr>
        <sz val="10"/>
        <rFont val="Arial"/>
        <family val="2"/>
      </rPr>
      <t xml:space="preserve">
</t>
    </r>
    <r>
      <rPr>
        <b/>
        <sz val="9"/>
        <rFont val="Arial"/>
        <family val="2"/>
      </rPr>
      <t>Not Stated</t>
    </r>
  </si>
  <si>
    <t>فئة عمر الزوج (بالسنوات)</t>
  </si>
  <si>
    <t>فئة عمر الزوجة (بالسنوات)</t>
  </si>
  <si>
    <r>
      <t>غير مبين</t>
    </r>
    <r>
      <rPr>
        <sz val="9"/>
        <rFont val="Arial"/>
        <family val="2"/>
      </rPr>
      <t xml:space="preserve">
</t>
    </r>
    <r>
      <rPr>
        <b/>
        <sz val="9"/>
        <rFont val="Arial"/>
        <family val="2"/>
      </rPr>
      <t>Not Stated</t>
    </r>
  </si>
  <si>
    <r>
      <t xml:space="preserve">النسبة المئوية لجنسية الزوج
</t>
    </r>
    <r>
      <rPr>
        <b/>
        <sz val="9"/>
        <rFont val="Arial"/>
        <family val="2"/>
      </rPr>
      <t>Percentage of Husband</t>
    </r>
    <r>
      <rPr>
        <sz val="8"/>
        <rFont val="Arial"/>
        <family val="2"/>
        <charset val="178"/>
      </rPr>
      <t xml:space="preserve"> </t>
    </r>
  </si>
  <si>
    <r>
      <rPr>
        <b/>
        <sz val="11"/>
        <rFont val="Arial"/>
        <family val="2"/>
      </rPr>
      <t>تقرأ وتكتب</t>
    </r>
    <r>
      <rPr>
        <b/>
        <sz val="12"/>
        <rFont val="Arial"/>
        <family val="2"/>
      </rPr>
      <t xml:space="preserve">
</t>
    </r>
    <r>
      <rPr>
        <b/>
        <sz val="9"/>
        <rFont val="Arial"/>
        <family val="2"/>
      </rPr>
      <t>Read and Write</t>
    </r>
  </si>
  <si>
    <r>
      <t xml:space="preserve">النسبة </t>
    </r>
    <r>
      <rPr>
        <sz val="10"/>
        <rFont val="Arial"/>
        <family val="2"/>
      </rPr>
      <t xml:space="preserve">
</t>
    </r>
    <r>
      <rPr>
        <b/>
        <sz val="9"/>
        <rFont val="Arial"/>
        <family val="2"/>
      </rPr>
      <t>Percentage</t>
    </r>
  </si>
  <si>
    <r>
      <t xml:space="preserve">النسبة </t>
    </r>
    <r>
      <rPr>
        <b/>
        <sz val="10"/>
        <rFont val="Arial"/>
        <family val="2"/>
      </rPr>
      <t xml:space="preserve">
</t>
    </r>
    <r>
      <rPr>
        <b/>
        <sz val="9"/>
        <rFont val="Arial"/>
        <family val="2"/>
      </rPr>
      <t>Percentage</t>
    </r>
    <r>
      <rPr>
        <sz val="10"/>
        <rFont val="Arial"/>
        <family val="2"/>
      </rPr>
      <t xml:space="preserve"> </t>
    </r>
  </si>
  <si>
    <t>فئة عمر الزوجة  (بالسنوات)</t>
  </si>
  <si>
    <r>
      <t xml:space="preserve"> المجموع
</t>
    </r>
    <r>
      <rPr>
        <b/>
        <sz val="9"/>
        <rFont val="Arial"/>
        <family val="2"/>
      </rPr>
      <t>Total</t>
    </r>
  </si>
  <si>
    <r>
      <rPr>
        <b/>
        <sz val="11"/>
        <rFont val="Arial"/>
        <family val="2"/>
      </rPr>
      <t>عدد الأبناء</t>
    </r>
    <r>
      <rPr>
        <b/>
        <sz val="12"/>
        <rFont val="Arial"/>
        <family val="2"/>
      </rPr>
      <t xml:space="preserve">
</t>
    </r>
    <r>
      <rPr>
        <b/>
        <sz val="9"/>
        <rFont val="Arial"/>
        <family val="2"/>
      </rPr>
      <t>No. of sons</t>
    </r>
  </si>
  <si>
    <r>
      <rPr>
        <b/>
        <sz val="11"/>
        <rFont val="Arial"/>
        <family val="2"/>
      </rPr>
      <t>عدد الحالات</t>
    </r>
    <r>
      <rPr>
        <b/>
        <sz val="12"/>
        <rFont val="Arial"/>
        <family val="2"/>
      </rPr>
      <t xml:space="preserve">
</t>
    </r>
    <r>
      <rPr>
        <b/>
        <sz val="9"/>
        <rFont val="Arial"/>
        <family val="2"/>
      </rPr>
      <t>No. of cases</t>
    </r>
  </si>
  <si>
    <t>إشهادات الطلاق حسب الجنسية ومكان إقامة الزوجة والزوج</t>
  </si>
  <si>
    <t>عقود الزواج حسب الجنسية ومكان إقامة الزوجة والزوج</t>
  </si>
  <si>
    <t>MARRIAGES BY NATIONALITY, PLACE OF WIFE AND HUSBAND'S RESIDENCE</t>
  </si>
  <si>
    <t>DIVORCES BY NATIONALITY,  PLACE OF WIFE AND HUSBAND'S RESIDENCE</t>
  </si>
  <si>
    <t>جدول رقم (22)</t>
  </si>
  <si>
    <t>Table No. (22)</t>
  </si>
  <si>
    <t>قطرية</t>
  </si>
  <si>
    <t>غير قطرية</t>
  </si>
  <si>
    <t>الدوحة
Doha</t>
  </si>
  <si>
    <t>الريان
Al Rayyan</t>
  </si>
  <si>
    <t>الوكرة
Al Wakra</t>
  </si>
  <si>
    <t>ام صلال
Umm Salal</t>
  </si>
  <si>
    <t>الخور
Al Khor</t>
  </si>
  <si>
    <t>الشمال
Al Shamal</t>
  </si>
  <si>
    <t xml:space="preserve"> الظعاين
Al Daayen</t>
  </si>
  <si>
    <t>الشحانية
Al Shahannia</t>
  </si>
  <si>
    <t>خارج قطر
Outside Qatar</t>
  </si>
  <si>
    <r>
      <t xml:space="preserve">Municipality
</t>
    </r>
    <r>
      <rPr>
        <sz val="10"/>
        <rFont val="Arial"/>
        <family val="2"/>
      </rPr>
      <t xml:space="preserve">Place of Husband  </t>
    </r>
  </si>
  <si>
    <r>
      <t>Municipality</t>
    </r>
    <r>
      <rPr>
        <sz val="11"/>
        <rFont val="Arial"/>
        <family val="2"/>
      </rPr>
      <t xml:space="preserve"> (Place of Wife)</t>
    </r>
  </si>
  <si>
    <t>MARRIAGES BY HUSBAND AGE GROUP AND HIS NATIONALITY</t>
  </si>
  <si>
    <t>عقود الزواج حسب عدد أبناء الزوج وجنسيتة وجنسية الزوجة</t>
  </si>
  <si>
    <t xml:space="preserve">عقود الزواج حسب عدد أبناء الزوجة وجنسيتها وجنسية الزوج </t>
  </si>
  <si>
    <t>GENERAL DIVORCES RATE BY NATIOANLITY &amp; GENDER PER 1000 POPULATION
(15 YEAR AND ABOVE)</t>
  </si>
  <si>
    <t>DIVORCES BY OCCUPATION OF WIFE AND HUSBAND</t>
  </si>
  <si>
    <t xml:space="preserve">DIVORCES BY OCCUPATION OF WIFE AND HUSBAND </t>
  </si>
  <si>
    <t>Number of Marriages</t>
  </si>
  <si>
    <t xml:space="preserve">Number of Divorces </t>
  </si>
  <si>
    <r>
      <t>بقية دول مجلس التعاون</t>
    </r>
    <r>
      <rPr>
        <b/>
        <sz val="9"/>
        <rFont val="Arial"/>
        <family val="2"/>
      </rPr>
      <t xml:space="preserve">
Other G.C.C Countries</t>
    </r>
  </si>
  <si>
    <r>
      <t>بقية الدول العربية</t>
    </r>
    <r>
      <rPr>
        <b/>
        <sz val="9"/>
        <rFont val="Arial"/>
        <family val="2"/>
      </rPr>
      <t xml:space="preserve">
Other Arab Countries</t>
    </r>
  </si>
  <si>
    <r>
      <t>دول أوروبية</t>
    </r>
    <r>
      <rPr>
        <b/>
        <sz val="9"/>
        <rFont val="Arial"/>
        <family val="2"/>
      </rPr>
      <t xml:space="preserve">
European  Countries</t>
    </r>
  </si>
  <si>
    <t>معدل الطلاق العام حسب الجنسية والجنس لكل ألف من السكان (15 سنة فأكثر)</t>
  </si>
  <si>
    <t>عدد حالات غير مبين لعدد الأبناء في حالة الزوج الحالي وهى (0)</t>
  </si>
  <si>
    <t xml:space="preserve">Number of children is not stated in the case of the current husband (0) cases  </t>
  </si>
  <si>
    <t>Number of children is not stated in the case of the previous husbands (0) cases</t>
  </si>
  <si>
    <t>(0) Numbe of children of Divorce cases Not stated</t>
  </si>
  <si>
    <t>إشهادات الطلاق
Divorces</t>
  </si>
  <si>
    <t>Qatar</t>
  </si>
  <si>
    <t>Legislators, Senior Officials And Managers</t>
  </si>
  <si>
    <t>Professionals</t>
  </si>
  <si>
    <t>Technicians And Associate Professionals</t>
  </si>
  <si>
    <t>Clerks</t>
  </si>
  <si>
    <t>Skilled Agricultural And Fishery Workers</t>
  </si>
  <si>
    <t>Craft And Related Trades Workers</t>
  </si>
  <si>
    <t>Plant And Machine Operators And Assemblers</t>
  </si>
  <si>
    <t>Elementary Occupations</t>
  </si>
  <si>
    <t>Service Workers And Shop And Market Sales Wo</t>
  </si>
  <si>
    <t>No Occup.
(1)</t>
  </si>
  <si>
    <r>
      <t xml:space="preserve">قطر
</t>
    </r>
    <r>
      <rPr>
        <b/>
        <sz val="9"/>
        <rFont val="Arial"/>
        <family val="2"/>
      </rPr>
      <t>Qatar</t>
    </r>
  </si>
  <si>
    <r>
      <rPr>
        <b/>
        <sz val="12"/>
        <rFont val="Arial"/>
        <family val="2"/>
      </rPr>
      <t>قطريات</t>
    </r>
    <r>
      <rPr>
        <b/>
        <sz val="10"/>
        <rFont val="Arial"/>
        <family val="2"/>
      </rPr>
      <t xml:space="preserve">
Qataris</t>
    </r>
  </si>
  <si>
    <r>
      <rPr>
        <b/>
        <sz val="12"/>
        <rFont val="Arial"/>
        <family val="2"/>
      </rPr>
      <t>غير قطريات</t>
    </r>
    <r>
      <rPr>
        <b/>
        <sz val="10"/>
        <rFont val="Arial"/>
        <family val="2"/>
      </rPr>
      <t xml:space="preserve">
Non-Qataris</t>
    </r>
  </si>
  <si>
    <r>
      <rPr>
        <b/>
        <sz val="12"/>
        <rFont val="Arial"/>
        <family val="2"/>
      </rPr>
      <t>المجموع</t>
    </r>
    <r>
      <rPr>
        <b/>
        <sz val="10"/>
        <rFont val="Arial"/>
        <family val="2"/>
      </rPr>
      <t xml:space="preserve">
Total</t>
    </r>
  </si>
  <si>
    <r>
      <t xml:space="preserve">فبراير 
</t>
    </r>
    <r>
      <rPr>
        <sz val="6"/>
        <rFont val="Arial"/>
        <family val="2"/>
      </rPr>
      <t>Feb</t>
    </r>
  </si>
  <si>
    <r>
      <t xml:space="preserve"> يناير
</t>
    </r>
    <r>
      <rPr>
        <sz val="6"/>
        <rFont val="Arial"/>
        <family val="2"/>
      </rPr>
      <t>Jan</t>
    </r>
  </si>
  <si>
    <r>
      <t xml:space="preserve">مارس 
</t>
    </r>
    <r>
      <rPr>
        <sz val="6"/>
        <rFont val="Arial"/>
        <family val="2"/>
      </rPr>
      <t>Mar</t>
    </r>
  </si>
  <si>
    <r>
      <t xml:space="preserve"> ابريل
</t>
    </r>
    <r>
      <rPr>
        <sz val="6"/>
        <rFont val="Arial"/>
        <family val="2"/>
      </rPr>
      <t>Apr</t>
    </r>
  </si>
  <si>
    <r>
      <t xml:space="preserve">مايو
</t>
    </r>
    <r>
      <rPr>
        <sz val="6"/>
        <rFont val="Arial"/>
        <family val="2"/>
      </rPr>
      <t>May</t>
    </r>
  </si>
  <si>
    <r>
      <t xml:space="preserve">يونيو
</t>
    </r>
    <r>
      <rPr>
        <sz val="6"/>
        <rFont val="Arial"/>
        <family val="2"/>
      </rPr>
      <t>Jun</t>
    </r>
  </si>
  <si>
    <r>
      <t xml:space="preserve">يوليو
</t>
    </r>
    <r>
      <rPr>
        <sz val="6"/>
        <rFont val="Arial"/>
        <family val="2"/>
      </rPr>
      <t>Jul</t>
    </r>
  </si>
  <si>
    <r>
      <t xml:space="preserve">اغسطس
</t>
    </r>
    <r>
      <rPr>
        <sz val="6"/>
        <rFont val="Arial"/>
        <family val="2"/>
      </rPr>
      <t>Aug</t>
    </r>
  </si>
  <si>
    <r>
      <t xml:space="preserve">سبتمبر
</t>
    </r>
    <r>
      <rPr>
        <sz val="6"/>
        <rFont val="Arial"/>
        <family val="2"/>
      </rPr>
      <t>Sep</t>
    </r>
  </si>
  <si>
    <r>
      <t xml:space="preserve">اكتوبر
 </t>
    </r>
    <r>
      <rPr>
        <sz val="6"/>
        <rFont val="Arial"/>
        <family val="2"/>
      </rPr>
      <t>Oct</t>
    </r>
  </si>
  <si>
    <r>
      <t xml:space="preserve">نوفمبر
</t>
    </r>
    <r>
      <rPr>
        <sz val="6"/>
        <rFont val="Arial"/>
        <family val="2"/>
      </rPr>
      <t>Nov</t>
    </r>
  </si>
  <si>
    <r>
      <t xml:space="preserve">ديسمبر
</t>
    </r>
    <r>
      <rPr>
        <sz val="6"/>
        <rFont val="Arial"/>
        <family val="2"/>
      </rPr>
      <t>Dec</t>
    </r>
  </si>
  <si>
    <t>أخرى
Other</t>
  </si>
  <si>
    <t>دول آسيوية</t>
  </si>
  <si>
    <t>دول أخرى</t>
  </si>
  <si>
    <r>
      <t>دول آسيوية</t>
    </r>
    <r>
      <rPr>
        <b/>
        <sz val="9"/>
        <rFont val="Arial"/>
        <family val="2"/>
      </rPr>
      <t xml:space="preserve">
Asian Countries</t>
    </r>
  </si>
  <si>
    <r>
      <t>دول أخرى</t>
    </r>
    <r>
      <rPr>
        <b/>
        <sz val="9"/>
        <rFont val="Arial"/>
        <family val="2"/>
      </rPr>
      <t xml:space="preserve">
Other Countries</t>
    </r>
  </si>
  <si>
    <r>
      <t>تقرأ وتكتب</t>
    </r>
    <r>
      <rPr>
        <b/>
        <sz val="12"/>
        <rFont val="Arial"/>
        <family val="2"/>
      </rPr>
      <t xml:space="preserve">
</t>
    </r>
    <r>
      <rPr>
        <b/>
        <sz val="9"/>
        <rFont val="Arial"/>
        <family val="2"/>
      </rPr>
      <t>Read and Write</t>
    </r>
  </si>
  <si>
    <t>المشرعون وموظفو الإدارة العليا والمديرون</t>
  </si>
  <si>
    <t>العاملون في الحرف وما إليها من المهن</t>
  </si>
  <si>
    <t>مشغلو الآلات والمعدات ومجمعوها</t>
  </si>
  <si>
    <t>المشرعون وموظفو الإدارة العليا والمديرون
Legislators, Senior Officials And Managers</t>
  </si>
  <si>
    <t>أم صلال</t>
  </si>
  <si>
    <t>دول آسيوية
Asian Countries</t>
  </si>
  <si>
    <t>ابتدائي</t>
  </si>
  <si>
    <r>
      <rPr>
        <b/>
        <sz val="11"/>
        <rFont val="Arial"/>
        <family val="2"/>
      </rPr>
      <t>ابتدائية</t>
    </r>
    <r>
      <rPr>
        <b/>
        <sz val="12"/>
        <rFont val="Arial"/>
        <family val="2"/>
      </rPr>
      <t xml:space="preserve">
</t>
    </r>
    <r>
      <rPr>
        <b/>
        <sz val="9"/>
        <rFont val="Arial"/>
        <family val="2"/>
      </rPr>
      <t>Primary</t>
    </r>
  </si>
  <si>
    <r>
      <t>ابتدائية</t>
    </r>
    <r>
      <rPr>
        <b/>
        <sz val="12"/>
        <rFont val="Arial"/>
        <family val="2"/>
      </rPr>
      <t xml:space="preserve">
</t>
    </r>
    <r>
      <rPr>
        <b/>
        <sz val="9"/>
        <rFont val="Arial"/>
        <family val="2"/>
      </rPr>
      <t>Primary</t>
    </r>
  </si>
  <si>
    <t>دول اسيوية</t>
  </si>
  <si>
    <t>دول اوروبية</t>
  </si>
  <si>
    <t>دول  اخرى</t>
  </si>
  <si>
    <t>المشرعون وموظفو الادارة العليا والمديرون</t>
  </si>
  <si>
    <t>العاملون في الحرف وما اليها من المهن</t>
  </si>
  <si>
    <t>مشغلو الالات والمعدات ومجمعوها</t>
  </si>
  <si>
    <t>2010 - 2019</t>
  </si>
  <si>
    <t>2014 - 2018</t>
  </si>
  <si>
    <t>Planning &amp; Statistics Authority, President</t>
  </si>
  <si>
    <t>رئيس جهاز التخطيط والإحصاء</t>
  </si>
  <si>
    <t>Dr. Saleh bin Mohamed Al-Nabit</t>
  </si>
  <si>
    <t>د. صالح بن محمد النابت</t>
  </si>
  <si>
    <t xml:space="preserve">     Through vital statistics (births and deaths - marriages and divorces) indicators on population growth rate and trend can be derived, as well as demographic behaviour of the society. These indicators can be used as indicatives for achieving short-term and long-term objectives as well as improving social and economic situations of the society.</t>
  </si>
  <si>
    <t xml:space="preserve">     من خلال الإحصاءات الحيوية (مواليد ووفيات - زواج وطلاق) يمكن التوصل إلى مؤشرات عن  اتجاه النمو السكاني ومعدله كما يمكن التعرف على السلوك الديموغرافي للمجتمع بشكل عام. وتستخدم المؤشرات التي توفرها الإحصاءات الحيوية كمعالم لبلوغ الأهداف القريبة والبعيدة المدى ولتحسين الأوضاع الاجتماعية والاقتصادية لأفراد المجتمع كافة.</t>
  </si>
  <si>
    <t xml:space="preserve">      Vital Statistics is considered as one of the main pillars of population statistics. It can be obtained from vital registrations systems or from population surveys and censuses.</t>
  </si>
  <si>
    <t xml:space="preserve">      تعتبر الإحصاءات الحيوية أحد الأركان الأساسية للإحصاءات السكانية التي يمكن الحصول عليها من أنظمة السجلات الحيوية أو من المسوحات والتعدادات السكانية .</t>
  </si>
  <si>
    <t>Preface</t>
  </si>
  <si>
    <t>تقديم</t>
  </si>
  <si>
    <t>2. Divorce Certificates Data</t>
  </si>
  <si>
    <t>--</t>
  </si>
  <si>
    <t>2 - بيانات إشهادات الطلاق</t>
  </si>
  <si>
    <t>1. Marriage Contracts Data</t>
  </si>
  <si>
    <t>1 - بيانات عقود الزواج</t>
  </si>
  <si>
    <t>Appendixes:</t>
  </si>
  <si>
    <t>ملاحــــــق:</t>
  </si>
  <si>
    <t>47</t>
  </si>
  <si>
    <t>46</t>
  </si>
  <si>
    <t>45</t>
  </si>
  <si>
    <t>44</t>
  </si>
  <si>
    <t>43-3</t>
  </si>
  <si>
    <t>43-2</t>
  </si>
  <si>
    <t>43-1</t>
  </si>
  <si>
    <t>42-3</t>
  </si>
  <si>
    <t>42-2</t>
  </si>
  <si>
    <t>42-1</t>
  </si>
  <si>
    <t>41-3</t>
  </si>
  <si>
    <t>41-2</t>
  </si>
  <si>
    <t>41-1</t>
  </si>
  <si>
    <t>40-3</t>
  </si>
  <si>
    <t>40-2</t>
  </si>
  <si>
    <t>40-1</t>
  </si>
  <si>
    <t>39-3</t>
  </si>
  <si>
    <t>39-2</t>
  </si>
  <si>
    <t>39-1</t>
  </si>
  <si>
    <t>38-3</t>
  </si>
  <si>
    <t>38-2</t>
  </si>
  <si>
    <t>38-1</t>
  </si>
  <si>
    <t>37</t>
  </si>
  <si>
    <t>36</t>
  </si>
  <si>
    <t>35</t>
  </si>
  <si>
    <t>34</t>
  </si>
  <si>
    <t>33-3</t>
  </si>
  <si>
    <t>33-2</t>
  </si>
  <si>
    <t>33-1</t>
  </si>
  <si>
    <t>32-3</t>
  </si>
  <si>
    <t>32-2</t>
  </si>
  <si>
    <t>32-1</t>
  </si>
  <si>
    <t>31-3</t>
  </si>
  <si>
    <t>31-2</t>
  </si>
  <si>
    <t>31-1</t>
  </si>
  <si>
    <t>30-3</t>
  </si>
  <si>
    <t>30-2</t>
  </si>
  <si>
    <t>30-1</t>
  </si>
  <si>
    <t>29</t>
  </si>
  <si>
    <t>28-3</t>
  </si>
  <si>
    <t>28-2</t>
  </si>
  <si>
    <t>28-1</t>
  </si>
  <si>
    <t>27</t>
  </si>
  <si>
    <t>26-3</t>
  </si>
  <si>
    <t>26-2</t>
  </si>
  <si>
    <t>26-1</t>
  </si>
  <si>
    <t>25-3</t>
  </si>
  <si>
    <t>25-2</t>
  </si>
  <si>
    <t>25-1</t>
  </si>
  <si>
    <t>24</t>
  </si>
  <si>
    <t>23</t>
  </si>
  <si>
    <t>22</t>
  </si>
  <si>
    <t>21</t>
  </si>
  <si>
    <t>Second section: Divorces</t>
  </si>
  <si>
    <t xml:space="preserve">الباب الثاني : الطــــــلاق </t>
  </si>
  <si>
    <t>20</t>
  </si>
  <si>
    <t>19</t>
  </si>
  <si>
    <t>18-3</t>
  </si>
  <si>
    <t>18-2</t>
  </si>
  <si>
    <t>18-1</t>
  </si>
  <si>
    <t>17-3</t>
  </si>
  <si>
    <t>17-2</t>
  </si>
  <si>
    <t>17-1</t>
  </si>
  <si>
    <t>16-3</t>
  </si>
  <si>
    <t>16-2</t>
  </si>
  <si>
    <t>16-1</t>
  </si>
  <si>
    <t>15-3</t>
  </si>
  <si>
    <t>15-2</t>
  </si>
  <si>
    <t>15-1</t>
  </si>
  <si>
    <t>14-3</t>
  </si>
  <si>
    <t>14-2</t>
  </si>
  <si>
    <t>14-1</t>
  </si>
  <si>
    <t>13-3</t>
  </si>
  <si>
    <t>13-2</t>
  </si>
  <si>
    <t>13-1</t>
  </si>
  <si>
    <t>12-3</t>
  </si>
  <si>
    <t>12-2</t>
  </si>
  <si>
    <t>12-1</t>
  </si>
  <si>
    <t>11-3</t>
  </si>
  <si>
    <t>11-2</t>
  </si>
  <si>
    <t>11-1</t>
  </si>
  <si>
    <t>10</t>
  </si>
  <si>
    <t>9</t>
  </si>
  <si>
    <t>8</t>
  </si>
  <si>
    <t>7</t>
  </si>
  <si>
    <t>6</t>
  </si>
  <si>
    <t>First section: Marriages</t>
  </si>
  <si>
    <t>الباب الأول : الزواج</t>
  </si>
  <si>
    <t>Indicators &amp; vital rates</t>
  </si>
  <si>
    <t>المؤشرات والمعدلات الحيوية</t>
  </si>
  <si>
    <t>Definitions</t>
  </si>
  <si>
    <t>تعاريف</t>
  </si>
  <si>
    <t>Introduction</t>
  </si>
  <si>
    <t>مقدمة</t>
  </si>
  <si>
    <t>Contents</t>
  </si>
  <si>
    <t>المحتويات</t>
  </si>
  <si>
    <t xml:space="preserve">تقديم </t>
  </si>
  <si>
    <t>Tables</t>
  </si>
  <si>
    <r>
      <t xml:space="preserve">رقم الصفحة
</t>
    </r>
    <r>
      <rPr>
        <b/>
        <sz val="8"/>
        <rFont val="Arial"/>
        <family val="2"/>
      </rPr>
      <t>Page No.</t>
    </r>
  </si>
  <si>
    <r>
      <t xml:space="preserve">رقم الجدول
</t>
    </r>
    <r>
      <rPr>
        <b/>
        <sz val="8"/>
        <rFont val="Arial"/>
        <family val="2"/>
      </rPr>
      <t>Table No.</t>
    </r>
  </si>
  <si>
    <t>الجداول</t>
  </si>
  <si>
    <r>
      <t xml:space="preserve">المحتويات                                                      </t>
    </r>
    <r>
      <rPr>
        <b/>
        <sz val="12"/>
        <rFont val="Arial"/>
        <family val="2"/>
      </rPr>
      <t>Contents</t>
    </r>
  </si>
  <si>
    <t>Graph</t>
  </si>
  <si>
    <r>
      <t xml:space="preserve">رقم الشكل
</t>
    </r>
    <r>
      <rPr>
        <b/>
        <sz val="8"/>
        <rFont val="Arial"/>
        <family val="2"/>
      </rPr>
      <t>Graph No.</t>
    </r>
  </si>
  <si>
    <t>الشكل</t>
  </si>
  <si>
    <r>
      <t xml:space="preserve">فهرس الرسوم البيانية                                         </t>
    </r>
    <r>
      <rPr>
        <b/>
        <sz val="12"/>
        <rFont val="Arial"/>
        <family val="2"/>
      </rPr>
      <t>CONTENTS OF GRAPHS</t>
    </r>
  </si>
  <si>
    <t xml:space="preserve">     The data cover cases of  Muslims' marriages and divorces that registered in the State of Qatar.</t>
  </si>
  <si>
    <t xml:space="preserve">     وبالنسبة للشمول فإن هذه البيانات تغطي أحداث الزواج والطلاق للمسلمين التي سجلت في دولة قطر. </t>
  </si>
  <si>
    <t xml:space="preserve">     The data presented in this bulletin is a result of cooperation between the Planning and Statistics Authority  and Supreme Judiciary Council as per the agreed variables displayed in the annexes. 
     The Planning and Statistics Authority  and  Supreme Judiciary Council launched the electronic linkup of their databases to strengthen partnership and achieve a quantum leap in data exchange. This step will lead to timely coordination and accuracy of data produced by both parties.</t>
  </si>
  <si>
    <t xml:space="preserve">         البيانات الواردة في هذه النشرة هي حصيلة التعاون بين جهاز التخطيط والإحصاء وبين المجلس الأعلى للقضاء وفقاً للمتغيرات المتفق عليها والمنشورة في الملاحق. 
       وقد تم تنفيذ الربط الالكتروني لقواعد البيانات بين جهاز التخطيط والإحصاء وبين المجلس الأعلى للقضاء بهدف تعزيز الشراكة بينهما وتحقيق نقلة نوعية في مجال تبادل البيانات وهذه الخطوة ستعمل على تماثل البيانات بين الجهتين والسرعة في الإنجاز.</t>
  </si>
  <si>
    <t>مُقدمة</t>
  </si>
  <si>
    <r>
      <t>Means place of husband &amp; wife resident</t>
    </r>
    <r>
      <rPr>
        <b/>
        <sz val="11"/>
        <rFont val="Arial"/>
        <family val="2"/>
      </rPr>
      <t>.</t>
    </r>
  </si>
  <si>
    <t xml:space="preserve"> المقصود بالبلدية هو مكان إقامة الزوج والزوجة.</t>
  </si>
  <si>
    <t>4 - Municipality</t>
  </si>
  <si>
    <r>
      <t>4 -</t>
    </r>
    <r>
      <rPr>
        <b/>
        <sz val="14"/>
        <rFont val="Arabic Transparent"/>
        <charset val="178"/>
      </rPr>
      <t xml:space="preserve"> البلدية</t>
    </r>
  </si>
  <si>
    <t xml:space="preserve">Non-registered are the married and divorced people who were recorded in the registers of the Judiciary Supreme Council after the publication of the Annual Bulletin of Marriage and Divorce for the same year. </t>
  </si>
  <si>
    <t xml:space="preserve"> فاقدو القيد هم المتزوجون والمطلقون الذين تم قيدهم في سجلات المجلس الاعلى للقضاء  في تاريخ لاحق وبعد صدور النشرة السنوية للزواج والطلاق  لنفس العام.</t>
  </si>
  <si>
    <t>3 - Non-registered</t>
  </si>
  <si>
    <r>
      <t>3 -</t>
    </r>
    <r>
      <rPr>
        <b/>
        <sz val="14"/>
        <rFont val="Arabic Transparent"/>
        <charset val="178"/>
      </rPr>
      <t xml:space="preserve"> فاقدو القيد</t>
    </r>
  </si>
  <si>
    <t>4.</t>
  </si>
  <si>
    <r>
      <t>GREATER BA'AN</t>
    </r>
    <r>
      <rPr>
        <sz val="11"/>
        <rFont val="Arial"/>
        <family val="2"/>
      </rPr>
      <t xml:space="preserve"> : It is a "complex divorce" for a third time and preceeded by two divorces. The divorcer can not remarry his divorcee unless she properly and legally married to another man and then divorced legally from him.</t>
    </r>
  </si>
  <si>
    <t>بينونة كبرى: وهو الطلاق المكمل للثلاث أي المسبوق بطلاقين ولا يحق للمطلق إعادة مطلقته إلا بعد زواجها من شخص آخر زواجاً شرعياً صحيحاً ثم الطلاق منه .</t>
  </si>
  <si>
    <t>3.</t>
  </si>
  <si>
    <r>
      <t>KHULAA</t>
    </r>
    <r>
      <rPr>
        <sz val="11"/>
        <rFont val="Arial"/>
        <family val="2"/>
      </rPr>
      <t xml:space="preserve"> : Termination of the marriage contract by mutual consent of the couple, with the wording of "Khulaa", against a lump sum paid by the wife, and considered annulment. The woman is not required to be in purity state</t>
    </r>
  </si>
  <si>
    <t>الخلع: وهو حلّ عقد الزواج بتراضي الزوجين بلفظ الخلع، أو ما في معناه على بدل تبذله الزوجة، ولا يشترط أن يكون في حالة طهر المرأة، ويكون فسخاً.</t>
  </si>
  <si>
    <t>2.</t>
  </si>
  <si>
    <r>
      <t>RAJEE</t>
    </r>
    <r>
      <rPr>
        <sz val="11"/>
        <rFont val="Arial"/>
        <family val="2"/>
      </rPr>
      <t xml:space="preserve"> : It is a "Revocable Divorce" for the first or second time which can be imposed upon a wife who has been sexually communicated with.</t>
    </r>
  </si>
  <si>
    <t>طلاق رجعي: وهو الطلاق الذى يقع على الزوجة المدخول بها وغير مكمل للثلاث.</t>
  </si>
  <si>
    <t>1.</t>
  </si>
  <si>
    <r>
      <t xml:space="preserve">Smaller BA'AN </t>
    </r>
    <r>
      <rPr>
        <sz val="11"/>
        <rFont val="Arial"/>
        <family val="2"/>
      </rPr>
      <t>: It is a "simple divorce' imposed upon a wife for the first time or second time after complete the period of (Elida) and also wife who has not yet been sexually communicated with.</t>
    </r>
  </si>
  <si>
    <t>بينونة صغرى: وهــو أن يتم الطلاق الأول أو الثاني بعد إنتهاء العدة بالزوجة المدخول بها أو قبل الدخول بالزوجة .</t>
  </si>
  <si>
    <t>Is the final legal dissolution of marriage i.e. the seperation of husband and wife and confers on the parties the right to remarriage on special conditions. The types of divorce according to Islamic law is as follows:</t>
  </si>
  <si>
    <t xml:space="preserve"> وهو الصيغة التي ينتهي بموجبها عقد الزواج بطريقة  شـرعية  بين الطرفين  أي  الزوج    والزوجة الذين يحق لهما  إعادة الزواج تحت شروط معينة. وفقاً للشريعة الإسلامية هناك أربعة أنواع من الطلاق نوردها فيما يلي :</t>
  </si>
  <si>
    <t>2 - Divorce</t>
  </si>
  <si>
    <r>
      <t xml:space="preserve">2 - </t>
    </r>
    <r>
      <rPr>
        <b/>
        <sz val="14"/>
        <rFont val="Arabic Transparent"/>
        <charset val="178"/>
      </rPr>
      <t xml:space="preserve">الطلاق </t>
    </r>
  </si>
  <si>
    <r>
      <t>No relationship</t>
    </r>
    <r>
      <rPr>
        <sz val="11"/>
        <rFont val="Arial"/>
        <family val="2"/>
      </rPr>
      <t xml:space="preserve"> when there is no blood relation between husband and wife.</t>
    </r>
  </si>
  <si>
    <t>لا قرابة وتعني عدم وجود صله قرابه بين الزوج والزوجة .</t>
  </si>
  <si>
    <r>
      <t>Second class relationship</t>
    </r>
    <r>
      <rPr>
        <sz val="11"/>
        <rFont val="Arial"/>
        <family val="2"/>
      </rPr>
      <t xml:space="preserve"> for any marriage of relatives other than those in (1) e.g. marriage from tribe.</t>
    </r>
  </si>
  <si>
    <t>قرابة من الدرجة الثانية وتعني زواج من أقارب آخرين غير ما ذكر في (1) مثل أبناء القبيلة .</t>
  </si>
  <si>
    <r>
      <t>First class relationship</t>
    </r>
    <r>
      <rPr>
        <sz val="11"/>
        <rFont val="Arial"/>
        <family val="2"/>
      </rPr>
      <t xml:space="preserve"> for marriages of cousins.</t>
    </r>
  </si>
  <si>
    <t>قرابة من الدرجــــة الأولى ويعني زواج أبناء العم /العمة - الخال/ الخالة .</t>
  </si>
  <si>
    <t>Marriage was classified according to relation as follows:</t>
  </si>
  <si>
    <t>يصنف الزواج حسب درجة القرابة على النحو التالي :</t>
  </si>
  <si>
    <t>Is the legal union of opposite sex i.e. husband and wife. The legality of this union is recognized by islamic laws. Marriage is the foundation of family which forms its legal identity.</t>
  </si>
  <si>
    <t xml:space="preserve"> هو الارتباط الشرعي والقانوني بين الزوج والزوجة . وشرعية هذا الزواج تحكمه القوانين الإسلامية وهو الظاهرة التي تنشئ الأسرة وتهيء لها الوضع القانوني .</t>
  </si>
  <si>
    <t>1 - Marriage</t>
  </si>
  <si>
    <r>
      <t xml:space="preserve">1 - </t>
    </r>
    <r>
      <rPr>
        <b/>
        <sz val="14"/>
        <rFont val="Arabic Transparent"/>
        <charset val="178"/>
      </rPr>
      <t>الزواج</t>
    </r>
  </si>
  <si>
    <t xml:space="preserve">     This bulletin contains a number of terminologies. Underneath are brief definitions for each:</t>
  </si>
  <si>
    <t xml:space="preserve">    اشتملت هذه النشــرة على عدد من المصطلحات فيما يلي نعرض تعريفاً مختصراً لكل منها :  </t>
  </si>
  <si>
    <t>تعاريــف</t>
  </si>
  <si>
    <r>
      <t xml:space="preserve">P </t>
    </r>
    <r>
      <rPr>
        <sz val="8"/>
        <rFont val="Arial"/>
        <family val="2"/>
      </rPr>
      <t>15t</t>
    </r>
  </si>
  <si>
    <t xml:space="preserve"> CDR =   </t>
  </si>
  <si>
    <t>Div</t>
  </si>
  <si>
    <t>× 1000</t>
  </si>
  <si>
    <t>It is calculated as follows:</t>
  </si>
  <si>
    <t>ويحسب كما يلي:</t>
  </si>
  <si>
    <t xml:space="preserve"> This has the same numerator of the CDR, but the denominator here is restricted to the population 15 years and above.</t>
  </si>
  <si>
    <t>وهو يناظر معدل الطلاق الخام إلا أن المقام هنا يقتصر على السكان في الأعمار 15 سنة فأكثر</t>
  </si>
  <si>
    <t xml:space="preserve">2- General Divorce Rate (CDR) : </t>
  </si>
  <si>
    <t xml:space="preserve">2- معدل الطلاق العام : </t>
  </si>
  <si>
    <t>P</t>
  </si>
  <si>
    <t xml:space="preserve">It is calculated as follows: </t>
  </si>
  <si>
    <t>The number of divorces per 1000 mid-year population.</t>
  </si>
  <si>
    <t>هو عدد حالات الطلاق لكل ألف من السكان في منتصف العام</t>
  </si>
  <si>
    <t xml:space="preserve">1- Crude Divorce Rate (CDR) : </t>
  </si>
  <si>
    <t xml:space="preserve">1- معدل الطلاق الخام : </t>
  </si>
  <si>
    <t>Second: Divorce Rates</t>
  </si>
  <si>
    <t xml:space="preserve">ثانياً : معدلات الطلاق </t>
  </si>
  <si>
    <t>It is the weighted average of age taking number of those getting married as weights and multiplied by corresponding age. The summation of the results are divided by summation of weight.</t>
  </si>
  <si>
    <t>وهو المتوسط المرجح للأعمار مع حساب عدد المتقدمين للزواج كأوزان وتضرب الأعمار × الأوزان ويجمع حاصل الضرب ويقسم على مجموع الأوزان</t>
  </si>
  <si>
    <t>3- Average age at first marriage:</t>
  </si>
  <si>
    <t>3- متوسط العمر عند الزواج الأول :</t>
  </si>
  <si>
    <t xml:space="preserve"> GMR =   </t>
  </si>
  <si>
    <t>M</t>
  </si>
  <si>
    <t>It has the same numerator of the CMR, but the denominator here is restricted to the population aged 15 years and above.</t>
  </si>
  <si>
    <t>هو مناظر معدل الزواج الخام إلا أن المقام يقتصر على السكان في العمر 15 سنة فأكثر</t>
  </si>
  <si>
    <t xml:space="preserve">2- General Marriage Rate : </t>
  </si>
  <si>
    <t xml:space="preserve">2- معدل الزواج العام : </t>
  </si>
  <si>
    <r>
      <rPr>
        <b/>
        <sz val="10"/>
        <rFont val="Arial"/>
        <family val="2"/>
      </rPr>
      <t xml:space="preserve">P : </t>
    </r>
    <r>
      <rPr>
        <sz val="10"/>
        <rFont val="Arial"/>
        <family val="2"/>
      </rPr>
      <t>Population at mid-year</t>
    </r>
  </si>
  <si>
    <t xml:space="preserve">P : عدد السكان في منتصف العام </t>
  </si>
  <si>
    <r>
      <rPr>
        <b/>
        <sz val="10"/>
        <rFont val="Arial"/>
        <family val="2"/>
      </rPr>
      <t>M:</t>
    </r>
    <r>
      <rPr>
        <sz val="10"/>
        <rFont val="Arial"/>
        <family val="2"/>
      </rPr>
      <t xml:space="preserve"> Total number of marriages in a certain area in specific year</t>
    </r>
  </si>
  <si>
    <t>M : هو إجمالي عدد الزيجات في منطقة معينة خلال سنة معينة.</t>
  </si>
  <si>
    <t>Where :</t>
  </si>
  <si>
    <t>حيث</t>
  </si>
  <si>
    <t xml:space="preserve"> CMR =   </t>
  </si>
  <si>
    <t xml:space="preserve">The number of marriages per 1000 mid-year population at a certain area in a specific year. </t>
  </si>
  <si>
    <t>هو عدد الزيجات لكل ألف من السكان في منتصف السنة في منطقة معينة خلال سنة معينة.</t>
  </si>
  <si>
    <t xml:space="preserve">1- Crude Marriage Rate (CMR) : </t>
  </si>
  <si>
    <t xml:space="preserve">1- معدل الزواج الخام : </t>
  </si>
  <si>
    <t>First: Marriage Rates</t>
  </si>
  <si>
    <t xml:space="preserve">أولاً : معدلات الزواج </t>
  </si>
  <si>
    <t>INDICATORS &amp; VITAL RATES</t>
  </si>
  <si>
    <t xml:space="preserve"> Data source: Supreme Judicial  Council</t>
  </si>
  <si>
    <t xml:space="preserve">مصدر البيانات :  المجلس الأعلى للقضاء </t>
  </si>
  <si>
    <t xml:space="preserve">  Relation  </t>
  </si>
  <si>
    <t>1- First class  relationship
2-Second class relationship
3-No relationship</t>
  </si>
  <si>
    <t>1- درجة أولى
2- درجة ثانية
3- لا قرابة</t>
  </si>
  <si>
    <t>صلة القرابة</t>
  </si>
  <si>
    <t>Place of Residence</t>
  </si>
  <si>
    <t xml:space="preserve">مكان الإقامة  </t>
  </si>
  <si>
    <t xml:space="preserve">Occupation </t>
  </si>
  <si>
    <t xml:space="preserve">المهنة  </t>
  </si>
  <si>
    <t>Educational Status</t>
  </si>
  <si>
    <t>0-IIIiterate
1- Read &amp; Write
2-Primary
3-Preparatory
4-Secondary
5-Pre.U. Diploma
6-University
7- Higher Diploma
8- M.A / M.Sc.
9- Ph.D.</t>
  </si>
  <si>
    <t>0- أمي
1- يقرأ ويكتب
2- ابتدائية
3- إعدادية
4- ثانوية
5- دبلوم أقل من الجامعة
6- بكالوريوس
7- دبلوم عالي
8- ماجسيتر
9- دكتوراة</t>
  </si>
  <si>
    <t>الحالة التعليمية</t>
  </si>
  <si>
    <t>No.of Sons</t>
  </si>
  <si>
    <t xml:space="preserve">عدد الأبناء   </t>
  </si>
  <si>
    <t>Marital statue</t>
  </si>
  <si>
    <t>1-Never married 
 2-Divorced
3-Widowed</t>
  </si>
  <si>
    <t>1- لم يسبق لها الزواج
2- مطلقة
3- أرملة</t>
  </si>
  <si>
    <t>الحالة الزواجية</t>
  </si>
  <si>
    <t xml:space="preserve">  Nationality </t>
  </si>
  <si>
    <t xml:space="preserve">الجنسية  </t>
  </si>
  <si>
    <t xml:space="preserve"> Age</t>
  </si>
  <si>
    <t>العمر</t>
  </si>
  <si>
    <t>Date of Birth</t>
  </si>
  <si>
    <t>تاريخ الميلاد</t>
  </si>
  <si>
    <t>Wife Data</t>
  </si>
  <si>
    <t>Wife ID/Passport No.</t>
  </si>
  <si>
    <t>رقم بطاقة/ جواز الزوجة</t>
  </si>
  <si>
    <t>بيانات الزوجة</t>
  </si>
  <si>
    <t>Number of Wives</t>
  </si>
  <si>
    <t xml:space="preserve">عدد االزوجات بالعصمة </t>
  </si>
  <si>
    <t>No.of sons</t>
  </si>
  <si>
    <t xml:space="preserve">عدد الأبناء  </t>
  </si>
  <si>
    <t>1-Never married 
2-Married
3-Divorced
4-Widowed</t>
  </si>
  <si>
    <t>1- لم يسق له الزواج
2- متزوج
3- مطلق
4- أرمل</t>
  </si>
  <si>
    <t>Husband Data</t>
  </si>
  <si>
    <t>Husband ID/Passport No.</t>
  </si>
  <si>
    <t>رقم بطاقة/ جواز الزوج</t>
  </si>
  <si>
    <t>بيانات الزوج</t>
  </si>
  <si>
    <t>Type of Contract</t>
  </si>
  <si>
    <t>1-Not proceded by another 
2- Proceded by another</t>
  </si>
  <si>
    <t>1- لم يسبقه آخر
2- سبقه آخر</t>
  </si>
  <si>
    <t>نوع العقد</t>
  </si>
  <si>
    <t>Contract Number</t>
  </si>
  <si>
    <t>رقم العقد</t>
  </si>
  <si>
    <t>سنة</t>
  </si>
  <si>
    <t>Marriage Contract Date</t>
  </si>
  <si>
    <t>شهر</t>
  </si>
  <si>
    <t>تاريخ العقد</t>
  </si>
  <si>
    <t>بيانات عقود الزواج
Marriage Contracts Data</t>
  </si>
  <si>
    <t>No. of Kids from Previous husbands</t>
  </si>
  <si>
    <t>عدد الأبناء من الأزواج السابقين</t>
  </si>
  <si>
    <t>No. of Kids from Current husband</t>
  </si>
  <si>
    <t>عدد الأبناء من الزوج الحالي</t>
  </si>
  <si>
    <t xml:space="preserve">Duration of Marriage   </t>
  </si>
  <si>
    <t xml:space="preserve">مدة الحياة الزوجية </t>
  </si>
  <si>
    <t>Wife ID/ Passport No.</t>
  </si>
  <si>
    <t xml:space="preserve">المهنة </t>
  </si>
  <si>
    <t>No. of Wives</t>
  </si>
  <si>
    <t>عدد الزوجات الباقيات بالعصمة</t>
  </si>
  <si>
    <t>Divorcee (Man) ID/ Passport No.</t>
  </si>
  <si>
    <t>Type of Divorce</t>
  </si>
  <si>
    <t>1-Rajee
2-Khulla
3-Baan Smaller
4-Baan Greater</t>
  </si>
  <si>
    <t>1- رجعي
2- خلع
3- بينونة صغرى
4- بينونة كبرى</t>
  </si>
  <si>
    <t>نوع الطلاق</t>
  </si>
  <si>
    <t>Divorce Requester</t>
  </si>
  <si>
    <t>رقم الاشهاد</t>
  </si>
  <si>
    <t>Divorce Date</t>
  </si>
  <si>
    <t>تاريخ الطلاق</t>
  </si>
  <si>
    <t>بيانات إشهادات الطلاق
Divorce Certificates Data</t>
  </si>
  <si>
    <t xml:space="preserve">عقود الزواج وإشهادات الطلاق المسجلة حسب جنسية الزوج (2010 - 2019)  </t>
  </si>
  <si>
    <t>Registered marriages and divorces by husband’s nationality (2010 - 2019)</t>
  </si>
  <si>
    <t>متوسط العمر عند أول زواج (2010 - 2019)</t>
  </si>
  <si>
    <t>Average age at first marriage (2010 - 2019)</t>
  </si>
  <si>
    <t>معدلات الزواج والطلاق الخام لكل ألف من السكان 
(2010 - 2019)</t>
  </si>
  <si>
    <t>Marriages and divorces crude rate per 1000 population (2010 - 2019)</t>
  </si>
  <si>
    <t>معدل الزواج العام حسب الجنسية والنوع لكل الف من السكان (15 سنة فأكثر)  (2010 - 2019)</t>
  </si>
  <si>
    <t>General marriage rate by nationality &amp; gender per 1000 population (15 year and above) (2010 - 2019)</t>
  </si>
  <si>
    <t>عقود الزواج حسب الجنسية ومكان إقامة الزوجة والزوج (2019)</t>
  </si>
  <si>
    <t>Marriages by nationality, place of wife and husband's residence (2019)</t>
  </si>
  <si>
    <t>عقود الزواج حسب جنسية الزوج والزوجة والشهر (2019)</t>
  </si>
  <si>
    <t>Marriages by nationality of husband, nationality of wife and month (2019)</t>
  </si>
  <si>
    <t>عقود الزواج حسب جنسية الزوجة والزوج (2019)</t>
  </si>
  <si>
    <t>Marriages by nationality of wife and husband (2019)</t>
  </si>
  <si>
    <t>عقود الزواج حسب فئة عمر الزوج وجنسيته (2019)</t>
  </si>
  <si>
    <t>Marriages by husband age group and his nationality (2019)</t>
  </si>
  <si>
    <t>عقود الزواج حسب فئة عمر الزوجة وجنسيتها (2019)</t>
  </si>
  <si>
    <t>Marriages by wife age group and her nationality (2019)</t>
  </si>
  <si>
    <t>عقود الزواج حسب فئة عمر الزوجة والزوج (قطريون) (2019)</t>
  </si>
  <si>
    <t>Marriages by  age group of wife and husband (Qataris) (2019)</t>
  </si>
  <si>
    <t>عقود الزواج حسب فئة عمر الزوجة والزوج (غير قطريين) (2019)</t>
  </si>
  <si>
    <t>Marriages by  age group of wife and husband
 (Non-Qataris) (2019)</t>
  </si>
  <si>
    <t>عقود الزواج حسب فئة عمر الزوجة والزوج (المجموع) (2019)</t>
  </si>
  <si>
    <t>Marriages by  age group of wife and husband (total) (2019)</t>
  </si>
  <si>
    <t>عقود الزواج حسب عدد الزوجات بالعصمة وفئة عمر الزوج (قطريون) (2019)</t>
  </si>
  <si>
    <t>Marriages by  number of  wives   and husband’s  age group (Qataris) (2019)</t>
  </si>
  <si>
    <t>عقــود الزواج حسب عدد الزوجـات بالعصمــة وفئة عمر الزوج (غير قطريين) (2019)</t>
  </si>
  <si>
    <t>Marriages by  number of wives and  husband’s age group(Non-Qataris) (2019)</t>
  </si>
  <si>
    <t>عقود الزواج حسب عدد الزوجات بالعصمة وفئة عمر الزوج (المجموع) (2019)</t>
  </si>
  <si>
    <t>Marriages by  number of wives and husband’s age group (total)  (2019)</t>
  </si>
  <si>
    <t>عقود الزواج حسب الحالة الزواجية للزوج وفئة عمر الزوج (قطريون) (2019)</t>
  </si>
  <si>
    <t>Marriages by husband marital status and age group (Qataris)  (2019)</t>
  </si>
  <si>
    <t>عقود الزواج حسب الحالة الزواجية للزوج وفئة عمر الزوج (غير قطريين) (2019)</t>
  </si>
  <si>
    <t>Marriage by husband marital status and age group (Non-Qataris)   (2019)</t>
  </si>
  <si>
    <t>عقود الزواج حسب الحالة الزواجية للزوج وفئة عمر الزوج (المجموع) (2019)</t>
  </si>
  <si>
    <t>Marriage by husband marital status and age group (total)  (2019)</t>
  </si>
  <si>
    <t>عقود الزواج حسب الحالة الزواجية للزوجة وفئة عمرها (قطريات) (2019)</t>
  </si>
  <si>
    <t>Marriages by wife marital status and age group (Qataris)  (2019)</t>
  </si>
  <si>
    <t>عقود الزواج حسب الحالة الزواجية للزوجة وفئة عمرها
(غير قطريات) (2019)</t>
  </si>
  <si>
    <t>Marriages by wife marital status and age group (Non-Qataris)  (2019)</t>
  </si>
  <si>
    <t>عقود الزواج حسب الحالة الزواجية للزوجة وفئة عمرها (المجموع) (2019)</t>
  </si>
  <si>
    <t>Marriages by wife marital status and age group (total)  (2019)</t>
  </si>
  <si>
    <t>عقود الزواج الأول للزوج والزوجة حسب فئات العمر (قطريون) (2019)</t>
  </si>
  <si>
    <t>First marriages of husband and wife by age group (Qataris)  (2019)</t>
  </si>
  <si>
    <t>عقود الزواج الأول للزوج والزوجة حسب فئات العمر (غير قطريين) (2019)</t>
  </si>
  <si>
    <t>First marriages of husband and wife by age group (Non- Qataris)  (2019)</t>
  </si>
  <si>
    <t>عقود الزواج الأول للزوج والزوجة حسب فئات العمر (المجموع) (2019)</t>
  </si>
  <si>
    <t>First marriages of husband and wife by age group (total)  (2019)</t>
  </si>
  <si>
    <t>عقود الزواج حسب الحالة التعليمية للزوجة والزوج (قطريون) (2019)</t>
  </si>
  <si>
    <t>Marriages by educational status of wife and husband (Qataris)  (2019)</t>
  </si>
  <si>
    <t>عقود الزواج حسب الحالة التعليمية للزوجة والزوج 
(غير قطريين) (2019)</t>
  </si>
  <si>
    <t>Marriages by educational status of wife and husband (Non-Qataris)  (2019)</t>
  </si>
  <si>
    <t>عقود الزواج حسب الحالة التعليمية للزوجة والزوج (المجموع) (2019)</t>
  </si>
  <si>
    <t>Marriages by educational status of wife and husband (total)  (2019)</t>
  </si>
  <si>
    <t>عقود الزواج حسب مهنة الزوجة والزوج (قطريون) (2019)</t>
  </si>
  <si>
    <t>Marriages by wife and husband occupation (Qataris)  (2019)</t>
  </si>
  <si>
    <t>عقود الزواج حسب مهنة الزوجة والزوج (غير قطريين) (2019)</t>
  </si>
  <si>
    <t>Marriages by  wife and husband occupation
 (Non-Qataris)  (2019)</t>
  </si>
  <si>
    <t>عقود الزواج حسب مهنة الزوجة والزوج (المجموع) (2019)</t>
  </si>
  <si>
    <t>Marriages by  wife and husband occupation (total)  (2019)</t>
  </si>
  <si>
    <t>عقود الزواج للقطريين حسب صلة القرابة وفئة عمر الزوجة والزوج (قرابة من الدرجة الأولى) (2019)</t>
  </si>
  <si>
    <t>Marriages for Qataris according to the relations, age group of wife and husband (relation from first class) (2019)</t>
  </si>
  <si>
    <t>عقود الزواج للقطريين حسب صلة القرابة وفئة عمر الزوجة والزوج (قرابة من الدرجة الثانية) (2019)</t>
  </si>
  <si>
    <t>Marriages for Qataris according to the relations, age group of wife and husband (relation from second class)  (2019)</t>
  </si>
  <si>
    <t>عقود الزواج للقطريين حسب صلة القرابة وفئة عمر الزوجة والزوج (لا توجد صلة قرابة) (2019)</t>
  </si>
  <si>
    <t>Marriages for Qataris according to the relations, age group of wife and husband (no relation) (2019)</t>
  </si>
  <si>
    <t>عقود الزواج حسب عدد أبناء الزوج وجنسيتة وجنسية الزوجة (2019)</t>
  </si>
  <si>
    <t>Marriages by number of husband's children &amp; nationality of husband &amp; wife (2019)</t>
  </si>
  <si>
    <t>عقود الزواج حسب عدد أبناء الزوجة وجنسيتها وجنسية الزوج (2019)</t>
  </si>
  <si>
    <t>Marriages by number of wife's children &amp; nationality of husband &amp; wife (2019)</t>
  </si>
  <si>
    <t>معدل الطلاق العام حسب الجنسية والجنس لكل الف من السكان (15 سنة فأكثر) (2010 - 2019)</t>
  </si>
  <si>
    <t>General divorces  rate by nationality &amp; gender per 1000 population(15 year and above) (2010 - 2019)</t>
  </si>
  <si>
    <t>إشهادات الطلاق حسب الجنسية ومكان إقامة الزوجة والزوج (2019)</t>
  </si>
  <si>
    <t>Divorces by nationality,  place of wife and husband's residence (2019)</t>
  </si>
  <si>
    <t>إشهادات الطلاق حسب جنسية الزوج والزوجة والشهر (2019)</t>
  </si>
  <si>
    <t>Divorces by nationality of husband, nationality of wife and month  (2019)</t>
  </si>
  <si>
    <t>إشهادات الطلاق حسب نوع الطلاق وجنسية الزوج (2019)</t>
  </si>
  <si>
    <t>Divorces by type of divorce and nationality of husband  (2019)</t>
  </si>
  <si>
    <t>إشهادات الطلاق حسب نوع الطلاق وفئة عمر الزوج (قطريون) (2019)</t>
  </si>
  <si>
    <t>Divorces by  type of divorce and age group of husband (Qataris)  (2019)</t>
  </si>
  <si>
    <t>إشهادات الطلاق حسب نوع الطلاق وفئة عمر الزوج
(غير قطريين) (2019)</t>
  </si>
  <si>
    <t>Divorces by  type of divorce and age group of husband (Non-Qataris)  (2019)</t>
  </si>
  <si>
    <t>إشهادات الطلاق حسب نوع الطلاق وفئة عمر الزوج (المجموع) (2019)</t>
  </si>
  <si>
    <t>Divorces by  type of divorce and age group of husband (total)  (2019)</t>
  </si>
  <si>
    <t>إشهادات الطلاق حسب نوع الطلاق وفئة عمر الزوجة (قطريات) (2019)</t>
  </si>
  <si>
    <t>Divorces by  type of divorce and age group of wife (Qataris)  (2019)</t>
  </si>
  <si>
    <t>إشهادات الطلاق حسب نوع الطلاق وفئة عمر الزوجة
(غير قطريات) (2019)</t>
  </si>
  <si>
    <t>Divorces by  type of divorce and age group of wife   (Non-Qataris)  (2019)</t>
  </si>
  <si>
    <t>إشهادات الطلاق حسب نوع الطلاق وفئة عمر الزوجة (المجموع) (2019)</t>
  </si>
  <si>
    <t>Divorces by  type of divorce and age group of wife (total)  (2019)</t>
  </si>
  <si>
    <t>إشهادات الطلاق حسب نوع الطلاق وطالب الطلاق وجنسية الزوج والزوجة (2019)</t>
  </si>
  <si>
    <t>Divorces by type, initiator and nationalities of husband and wife (2019)</t>
  </si>
  <si>
    <t>إشهادات الطلاق حسب نوع الطلاق ومدة الحياة الزواجية للزوج (قطريون) (2019)</t>
  </si>
  <si>
    <t>Divorces by type of divorce and duration of marriage of husband (Qataris)  (2019)</t>
  </si>
  <si>
    <t>إشهادات الطلاق حسب نوع الطلاق ومدة الحياة الزواجية للزوج (غير قطريين) (2019)</t>
  </si>
  <si>
    <t>Divorces by type of divorce and duration of marriage of husband (Non-Qataris)  (2019)</t>
  </si>
  <si>
    <t>إشهادات الطلاق حسب نوع الطلاق ومدة الحياة الزواجية للزوج (المجموع) (2019)</t>
  </si>
  <si>
    <t>Divorces by type of divorce and duration of marriage of husband (total)  (2019)</t>
  </si>
  <si>
    <t>إشهادات الطلاق حسب جنسية الزوج والزوجة وعدد طالبي الطلاق ومدة الحياة الزواجية للزوج (2019)</t>
  </si>
  <si>
    <t>Divorces  by husband and wife, nationality, divorce initiators number and duration of marriage for husband (2019)</t>
  </si>
  <si>
    <t>إشهادات الطلاق حسب نوع الطلاق ومدة الحياة الزواجية للزوجة (قطريات) (2019)</t>
  </si>
  <si>
    <t>Divorces by type of divorce and duration of marriage of wife (Qataris)  (2019)</t>
  </si>
  <si>
    <t>إشهادات الطلاق حسب نوع الطلاق ومدة الحياة الزواجية للزوجة (غيرقطريات) (2019)</t>
  </si>
  <si>
    <t>Divorces by type of divorce and duration of marriage of wife (Non-Qataris)  (2019)</t>
  </si>
  <si>
    <t>إشهادات الطلاق حسب نوع الطلاق ومدة الحياة الزواجية للزوجة (المجموع) (2019)</t>
  </si>
  <si>
    <t>Divorces by type of divorce and duration of marriage of wife (total)  (2019)</t>
  </si>
  <si>
    <t>إشهادات الطلاق حسب مدة الحياة الزواجية وفئة عمر الزوج (قطريون) (2019)</t>
  </si>
  <si>
    <t>Divorces by duration of marriage and age group of husband (Qataris)  (2019)</t>
  </si>
  <si>
    <t>إشهادات الطلاق حسب مدة الحياة الزواجية وفئة عمر الزوج
(غير قطريين) (2019)</t>
  </si>
  <si>
    <t>Divorces by duration of marriage and age group of husband (Non-Qataris)  (2019)</t>
  </si>
  <si>
    <t>إشهادات الطلاق حسب مدة الحياة الزواجية وفئة عمر الزوج
(المجموع) (2019)</t>
  </si>
  <si>
    <t>Divorces by duration of marriage and age group of husband (total)  (2019)</t>
  </si>
  <si>
    <t>إشهادات الطلاق حسب مدة الحياة الزواجية وفئة عمر الزوجة (قطريات) (2019)</t>
  </si>
  <si>
    <t>Divorces by duration of marriage and age group of wife (Qataris)  (2019)</t>
  </si>
  <si>
    <t>إشهادات الطلاق حسب مدة الحياة الزواجية وفئة عمر الزوجة
(غير قطريات) (2019)</t>
  </si>
  <si>
    <t>Divorces by duration of marriage and age group of wife (Non-Qataris)  (2019)</t>
  </si>
  <si>
    <t>إشهادات الطلاق حسب مدة الحياة الزواجية وفئة عمر الزوجة
(لمجموع) (2019)</t>
  </si>
  <si>
    <t>Divorces by duration of marriage and age group of wife (total)  (2019)</t>
  </si>
  <si>
    <t>إشهادات الطلاق حسب فئة عمر الزوجة والزوج (قطريون) (2019)</t>
  </si>
  <si>
    <t>Divorces by age group of wife and husband (Qataris)  (2019)</t>
  </si>
  <si>
    <t>إشهادات الطلاق حسب فئة عمر الزوجة والزوج (غير قطريين) (2019)</t>
  </si>
  <si>
    <t>Divorces by age group of wife and husband (Non-Qataris)  (2019)</t>
  </si>
  <si>
    <t>إشهادات الطلاق حسب فئة عمر الزوجة والزوج (المجموع) (2019)</t>
  </si>
  <si>
    <t>Divorces by age group of wife and husband (total)  (2019)</t>
  </si>
  <si>
    <t>إشهادات الطلاق حسب فئة عمر الزوج وجنسيته (2019)</t>
  </si>
  <si>
    <t>Divorces by husband age group and nationality   (2019)</t>
  </si>
  <si>
    <t>إشهادات الطلاق حسب فئة عمر الزوجة وجنسيتها (2019)</t>
  </si>
  <si>
    <t>Divorces by wife age group and nationality  (2019)</t>
  </si>
  <si>
    <t>إشهادات الطلاق حسب جنسية الزوجة والزوج (2019)</t>
  </si>
  <si>
    <t>Divorces by nationality of wife and husband  (2019)</t>
  </si>
  <si>
    <t>إشهادات الطلاق حسب عدد الزوجات الباقيات بالعصمة وجنسية الزوج وفئة عمره (2019)</t>
  </si>
  <si>
    <t>Divorces by number of wives and nationality of husband and his age group (2019)</t>
  </si>
  <si>
    <t>إشهادات الطلاق حسب الحالة التعليمية للزوجة والزوج (قطريون) (2019)</t>
  </si>
  <si>
    <t>Divorces by educational status of wife and husband (Qataris)  (2019)</t>
  </si>
  <si>
    <t>إشهادات الطلاق حسب الحالة التعليمية للزوجة والزوج
(غير قطريين) (2019)</t>
  </si>
  <si>
    <t>Divorces by educational status of wife and husband (Non-Qataris)  (2019)</t>
  </si>
  <si>
    <t>إشهادات الطلاق حسب الحالة التعليمية للزوجة والزوج (المجموع) (2019)</t>
  </si>
  <si>
    <t>Divorces by educational status of wife and husband (total)  (2019)</t>
  </si>
  <si>
    <t>إشهادات الطلاق حسب الحالة التعليمية للزوجة وفئة عمرها (قطريات) (2019)</t>
  </si>
  <si>
    <t>Divorces by educational status of wife and her age group (Qataris)  (2019)</t>
  </si>
  <si>
    <t>إشهادات الطلاق حسب الحالة التعليمية للزوجة وفئة عمرها 
(غير قطريات) (2019)</t>
  </si>
  <si>
    <t>Divorces by educational status of wife and her age group (Non-Qataris)  (2019)</t>
  </si>
  <si>
    <t>إشهادات الطلاق حسب الحالة التعليمية للزوجة وفئة عمرها (المجموع) (2019)</t>
  </si>
  <si>
    <t>Divorces by educational status of wife and her age group (total)  (2019)</t>
  </si>
  <si>
    <t>إشهادات الطلاق حسب مهنة الزوجة والزوج (قطريون) (2019)</t>
  </si>
  <si>
    <t>Divorces by occupation of wife and husband (Qataris)  (2019)</t>
  </si>
  <si>
    <t>إشهادات الطلاق حسب مهنة الزوجة والزوج (غير قطريين) (2019)</t>
  </si>
  <si>
    <t>Divorces by occupation of wife and husband
 (Non-Qataris)  (2019)</t>
  </si>
  <si>
    <t>إشهادات الطلاق حسب مهنة الزوجة والزوج (المجموع) (2019)</t>
  </si>
  <si>
    <t>Divorces by occupation of wife and husband (total)  (2019)</t>
  </si>
  <si>
    <t>إشهادات الطلاق للقطريين حسب صلة القرابة وفئة عمر الزوج والزوجة (القرابة من الدرجة الأولى) (2019)</t>
  </si>
  <si>
    <t>Divorces of Qatari  according to relation and age group of husband and wife (relation of first class) (2019)</t>
  </si>
  <si>
    <t>إشهادات الطلاق للقطريين حسب صلة القرابة وفئة عمر الزوج والزوجة (القرابة من الدرجة الثانية) (2019)</t>
  </si>
  <si>
    <t>Divorces of Qatari according to relation and age group of wife and husband (relation of second class) (2019)</t>
  </si>
  <si>
    <t>إشهادات الطلاق للقطريين حسب صلة القرابة وفئة عمر الزوج والزوجة (لا توجد صلة قرابة) (2019)</t>
  </si>
  <si>
    <t>Divorces of Qatari  according to relation and age group of wife and husband (no relation) (2019)</t>
  </si>
  <si>
    <t>عدد الأبناء للمطلقة حسب فئة عمرالزوج والزوجة (قطريون) (2019)</t>
  </si>
  <si>
    <t>Number of children of divorcee by age group of husband and wife (Qataris) (2019)</t>
  </si>
  <si>
    <t>عدد الأبناء للمطلقة حسب فئة عمرالزوج والزوجة (غير قطريين) (2019)</t>
  </si>
  <si>
    <t>Number of children of divorcee by age group of husband and wife (Non-Qataris) (2019)</t>
  </si>
  <si>
    <t>عدد الأبناء للمطلقة حسب فئة عمرالزوج والزوجة (المجموع) (2019)</t>
  </si>
  <si>
    <t>Number of children of divorcee by age group of husband and wife (total) (2019)</t>
  </si>
  <si>
    <t>إشهادات الطلاق حسب عدد الأبناء وفئة عمر الزوجة (قطريات) (2019)</t>
  </si>
  <si>
    <t>Divorces by number of children and age group of wife (Qataris) (2019)</t>
  </si>
  <si>
    <t>إشهادات الطلاق حسب عدد الأبناء وفئة عمر الزوجة (غير قطريات) (2019)</t>
  </si>
  <si>
    <t>Divorces by number of children and age group of wife (Non-Qataris) (2019)</t>
  </si>
  <si>
    <t>إشهادات الطلاق حسب عدد الأبناء وفئة عمر الزوجة (المجموع) (2019)</t>
  </si>
  <si>
    <t>Divorces by number of children and age group of wife (total) (2019)</t>
  </si>
  <si>
    <t>إشهادات الطلاق حسب عدد أبناء الزوجة وجنسية الزوج والزوجة (2019)</t>
  </si>
  <si>
    <t>Divorces by number of wife's children &amp; nationality of husband &amp; wife (2019)</t>
  </si>
  <si>
    <t>إشهادات الطلاق حسب جنسية الزوج والزوجة وعدد أبناء الزوجة ومدة الحياة الزواجية للزوج (2019)</t>
  </si>
  <si>
    <t>Divorces  by nationality of husband, wife &amp; number of wife's children  and duration of marriage for husband (2019)</t>
  </si>
  <si>
    <t>عدد الأبناء للمطلقة من الزوج الحالي حسب جنسية الزوجة (2019)</t>
  </si>
  <si>
    <t>No. of children of the divorcee from current husbands by wife nationality (2019)</t>
  </si>
  <si>
    <t>عدد الأبناء للمطلقة من الأزواج السابقين حسب جنسية الزوجة (2019)</t>
  </si>
  <si>
    <t>No. of children of the divorcee from previous husbands by wife nationality (2019)</t>
  </si>
  <si>
    <t>عقود الزواج وإشهادات الطلاق لفاقدي القيد حسب الجنسية 
(2014 - 2018)</t>
  </si>
  <si>
    <t>Not registered marriages and divorces by  nationality (2014 - 2018)</t>
  </si>
  <si>
    <t>عقود الزواج وإشهادات الطلاق المسجلة حسب جنسية الزوج
(2010 - 2019)</t>
  </si>
  <si>
    <t>Registered marriages &amp; divorces by husband's nationality (2010 - 2019)</t>
  </si>
  <si>
    <t>متوسط العمر عن أول زواج (قطريون) (2010 - 2019)</t>
  </si>
  <si>
    <t>Average age at first marriage (Qataris) (2010 - 2019)</t>
  </si>
  <si>
    <t>معدلات الزواج والطلاق الخام لكل ألف من السكان (2010 - 2019)</t>
  </si>
  <si>
    <t>معدل الزواج العام (2010 - 2019)</t>
  </si>
  <si>
    <t>Marriages by general rate (2010 - 2019)</t>
  </si>
  <si>
    <t>عقود الزواج حسب جنسية الزوج والزوجة ومكان إقامة الزوج والزوجة (2019)</t>
  </si>
  <si>
    <t>Marriages by nationality of husband, nationality of wife and place of husband &amp; wife residence (2019)</t>
  </si>
  <si>
    <t>عقود الزواج المسجلة حسب جنسية الزوج (2019)</t>
  </si>
  <si>
    <t xml:space="preserve">Marriages by nationality of husband (2019) </t>
  </si>
  <si>
    <t>عقود الزواج المسجلة حسب الحالة التعليمية للزوجة و الزوج (2019)</t>
  </si>
  <si>
    <t>Marriages by educational status of wife and husband (2019)</t>
  </si>
  <si>
    <t>عقود الزواج المسجلة حسب مهنة الزوجة والزوج (2019)</t>
  </si>
  <si>
    <t>Marriages by wife and husband occupation   (2019)</t>
  </si>
  <si>
    <t>عقود الزواج حسب عدد أبناء الزوجة وجنسية الزوج والزوجة (2019)</t>
  </si>
  <si>
    <t>معدل الطلاق العام (2010 - 2019)</t>
  </si>
  <si>
    <t>Divorces by general rate (2010 - 2019)</t>
  </si>
  <si>
    <t>إشهادات الطلاق حسب جنسية الزوج والزوجة ومكان إقامة الزوج والزوجة (2019)</t>
  </si>
  <si>
    <t>Divorces by nationality of husband, nationality of wife and place of husband &amp; wife residence (2019)</t>
  </si>
  <si>
    <t>إشهادات الطلاق حسب جنسية الزوج والشهر (2019)</t>
  </si>
  <si>
    <t>Divorces by nationality of husband and month (2019)</t>
  </si>
  <si>
    <t>إشهادات الطلاق للقطريين حسب نوع الطلاق (2019)</t>
  </si>
  <si>
    <t>Qataris divorces by type of divorce (2019)</t>
  </si>
  <si>
    <t>إشهادات الطلاق حسب جنسية الزوج (2019)</t>
  </si>
  <si>
    <t>Divorces by nationality of husband (2019)</t>
  </si>
  <si>
    <t>Divorces by nationality of wife and husband (2019)</t>
  </si>
  <si>
    <t>إشهادات الطلاق حسب الحالة التعليمية للزوجة والزوج (2019)</t>
  </si>
  <si>
    <t>Divorces by educational status of wife and husband (2019)</t>
  </si>
  <si>
    <t>إشهادات الطلاق حسب مهنة الزوجة والزوج (2019)</t>
  </si>
  <si>
    <t>Divorces by occupation of wife and husband (2019)</t>
  </si>
  <si>
    <t>Divorces of Qatari  according to relation and age group of wife and husband (relation of first class) (2019)</t>
  </si>
  <si>
    <t>Divorces of Qatari  according to relation and age group of wife and husband (relation of second class) (2019)</t>
  </si>
  <si>
    <t>العمال المهرة في الزراعة وصيد الأسماك</t>
  </si>
  <si>
    <t>Legislators, Senior Officials and Managers</t>
  </si>
  <si>
    <t>Technicians and Associate Professionals</t>
  </si>
  <si>
    <t>Service Workers and Shop And Market Sales Workers</t>
  </si>
  <si>
    <t>Skilled Agricultural and Fishery Workers</t>
  </si>
  <si>
    <t>Plant And Machine Operators and Assemblers</t>
  </si>
  <si>
    <t>Craft and Related Trades Workers</t>
  </si>
  <si>
    <t>Plant and Machine Operators And Assemblers</t>
  </si>
  <si>
    <t>أم صلال
Umm Salal</t>
  </si>
  <si>
    <t>European Countries</t>
  </si>
  <si>
    <t xml:space="preserve">      ويسر جهاز التخطيط والإحصاء أن يُقدم هذه النشـرة السنوية للإحصاءات الحيوية (الزواج والطلاق) لعام 2019 ويأمل أن تكون ذات فائدة كبيرة للمخططين والباحثين.</t>
  </si>
  <si>
    <t xml:space="preserve">     The Planning and Statistics Authority has the pleasure to introduce this Annual Bulletin of Vital  Statistics (Marriages and Divorces) for the year 2019, hoping that it would be of great interest for planners and researchers.</t>
  </si>
  <si>
    <t>عدد حالات غير مبين لعدد الأبناء في حالة الأزواج السابقين وهى (0)</t>
  </si>
  <si>
    <r>
      <rPr>
        <b/>
        <sz val="12"/>
        <rFont val="Arial"/>
        <family val="2"/>
      </rPr>
      <t>البلدية</t>
    </r>
    <r>
      <rPr>
        <b/>
        <sz val="11"/>
        <rFont val="Arial"/>
        <family val="2"/>
      </rPr>
      <t xml:space="preserve">
</t>
    </r>
    <r>
      <rPr>
        <sz val="12"/>
        <rFont val="Arial"/>
        <family val="2"/>
      </rPr>
      <t>مكان إقامة الزوج</t>
    </r>
  </si>
  <si>
    <r>
      <t>بقية دول مجلس التعاون</t>
    </r>
    <r>
      <rPr>
        <sz val="9"/>
        <rFont val="Arial"/>
        <family val="2"/>
        <charset val="178"/>
      </rPr>
      <t xml:space="preserve">
</t>
    </r>
    <r>
      <rPr>
        <b/>
        <sz val="9"/>
        <rFont val="Arial"/>
        <family val="2"/>
      </rPr>
      <t>Other G.C.C Countries</t>
    </r>
  </si>
  <si>
    <r>
      <t>دول أسيوية</t>
    </r>
    <r>
      <rPr>
        <b/>
        <sz val="9"/>
        <rFont val="Arial"/>
        <family val="2"/>
      </rPr>
      <t xml:space="preserve">
Asian Countries</t>
    </r>
  </si>
  <si>
    <r>
      <t>دول أوروبية</t>
    </r>
    <r>
      <rPr>
        <b/>
        <sz val="9"/>
        <rFont val="Arial"/>
        <family val="2"/>
      </rPr>
      <t xml:space="preserve">
European Countries</t>
    </r>
  </si>
  <si>
    <r>
      <t>دول اخرى</t>
    </r>
    <r>
      <rPr>
        <b/>
        <sz val="9"/>
        <rFont val="Arial"/>
        <family val="2"/>
      </rPr>
      <t xml:space="preserve">
Other Countries</t>
    </r>
  </si>
  <si>
    <t xml:space="preserve"> 20-24</t>
  </si>
  <si>
    <t xml:space="preserve"> 25-29</t>
  </si>
  <si>
    <t xml:space="preserve"> 30-34</t>
  </si>
  <si>
    <t xml:space="preserve"> 35-39</t>
  </si>
  <si>
    <t xml:space="preserve"> 40-44</t>
  </si>
  <si>
    <t xml:space="preserve"> 45-49</t>
  </si>
  <si>
    <t xml:space="preserve"> 50-54</t>
  </si>
  <si>
    <t xml:space="preserve"> 55-59</t>
  </si>
  <si>
    <t xml:space="preserve">60+ </t>
  </si>
  <si>
    <r>
      <t xml:space="preserve">بدون مهنة </t>
    </r>
    <r>
      <rPr>
        <b/>
        <vertAlign val="superscript"/>
        <sz val="12"/>
        <rFont val="Arial"/>
        <family val="2"/>
      </rPr>
      <t>(1)</t>
    </r>
  </si>
  <si>
    <r>
      <t>No Occup.</t>
    </r>
    <r>
      <rPr>
        <vertAlign val="superscript"/>
        <sz val="10"/>
        <rFont val="Arial"/>
        <family val="2"/>
      </rPr>
      <t>(1)</t>
    </r>
  </si>
  <si>
    <r>
      <t xml:space="preserve">بدون مهنة </t>
    </r>
    <r>
      <rPr>
        <b/>
        <vertAlign val="superscript"/>
        <sz val="10"/>
        <rFont val="Arial"/>
        <family val="2"/>
      </rPr>
      <t>(1)</t>
    </r>
  </si>
  <si>
    <t>Service Workersand Shop and Market Sales Workers</t>
  </si>
  <si>
    <t>Plant and Machine Operators and Assemblers</t>
  </si>
  <si>
    <t>(1) Including Those Who Are Seeking Work And Uneconomically Active</t>
  </si>
  <si>
    <t xml:space="preserve"> 5-9</t>
  </si>
  <si>
    <t xml:space="preserve"> 10-14</t>
  </si>
  <si>
    <t xml:space="preserve"> 15-19</t>
  </si>
  <si>
    <t>(1) Duration Of Marriage For Last Marriage Only</t>
  </si>
  <si>
    <r>
      <t>بينونة كبرى</t>
    </r>
    <r>
      <rPr>
        <b/>
        <sz val="10"/>
        <rFont val="Arial"/>
        <family val="2"/>
      </rPr>
      <t xml:space="preserve">
</t>
    </r>
    <r>
      <rPr>
        <b/>
        <sz val="9"/>
        <rFont val="Arial"/>
        <family val="2"/>
      </rPr>
      <t xml:space="preserve">Major irrevocable divorce </t>
    </r>
  </si>
  <si>
    <t xml:space="preserve"> 60-64</t>
  </si>
  <si>
    <t xml:space="preserve"> 65-69</t>
  </si>
  <si>
    <t xml:space="preserve"> 70-74</t>
  </si>
  <si>
    <t xml:space="preserve">75+ </t>
  </si>
  <si>
    <r>
      <t>قطريون</t>
    </r>
    <r>
      <rPr>
        <b/>
        <sz val="8"/>
        <rFont val="Arial"/>
        <family val="2"/>
      </rPr>
      <t xml:space="preserve"> 
Qataris</t>
    </r>
  </si>
  <si>
    <r>
      <t>غير قطريين</t>
    </r>
    <r>
      <rPr>
        <b/>
        <sz val="8"/>
        <rFont val="Arial"/>
        <family val="2"/>
      </rPr>
      <t xml:space="preserve">
Non-Qataris</t>
    </r>
  </si>
  <si>
    <r>
      <t>قطريات</t>
    </r>
    <r>
      <rPr>
        <b/>
        <sz val="8"/>
        <rFont val="Arial"/>
        <family val="2"/>
      </rPr>
      <t xml:space="preserve"> 
Qataris</t>
    </r>
  </si>
  <si>
    <r>
      <t>غير قطريات</t>
    </r>
    <r>
      <rPr>
        <b/>
        <sz val="8"/>
        <rFont val="Arial"/>
        <family val="2"/>
      </rPr>
      <t xml:space="preserve">
Non-Qataris</t>
    </r>
  </si>
  <si>
    <r>
      <t>بدون مهنة</t>
    </r>
    <r>
      <rPr>
        <b/>
        <vertAlign val="superscript"/>
        <sz val="12"/>
        <rFont val="Arial"/>
        <family val="2"/>
      </rPr>
      <t xml:space="preserve"> (1)</t>
    </r>
  </si>
  <si>
    <r>
      <t xml:space="preserve">بدون مهنة
</t>
    </r>
    <r>
      <rPr>
        <b/>
        <vertAlign val="superscript"/>
        <sz val="10"/>
        <rFont val="Arial"/>
        <family val="2"/>
      </rPr>
      <t>(1)</t>
    </r>
  </si>
  <si>
    <t>قطريون 
Qataris</t>
  </si>
  <si>
    <t>غير قطريين
Non-Qataris</t>
  </si>
  <si>
    <r>
      <t>قطريون</t>
    </r>
    <r>
      <rPr>
        <b/>
        <sz val="8"/>
        <rFont val="Arial"/>
        <family val="2"/>
        <charset val="178"/>
      </rPr>
      <t xml:space="preserve"> 
</t>
    </r>
    <r>
      <rPr>
        <b/>
        <sz val="10"/>
        <rFont val="Arial"/>
        <family val="2"/>
      </rPr>
      <t>Qataris</t>
    </r>
  </si>
  <si>
    <r>
      <t>غير قطريين</t>
    </r>
    <r>
      <rPr>
        <b/>
        <sz val="8"/>
        <rFont val="Arial"/>
        <family val="2"/>
        <charset val="178"/>
      </rPr>
      <t xml:space="preserve">
</t>
    </r>
    <r>
      <rPr>
        <b/>
        <sz val="10"/>
        <rFont val="Arial"/>
        <family val="2"/>
      </rPr>
      <t>Non-Qataris</t>
    </r>
  </si>
  <si>
    <t xml:space="preserve">إشهادات الطلاق غير قطريين
Divorces Non-Qataris </t>
  </si>
  <si>
    <t>إشهادات الطلاق قطريون 
Divorces Qataris</t>
  </si>
  <si>
    <r>
      <t>عقود الزواج غير قطريين</t>
    </r>
    <r>
      <rPr>
        <b/>
        <sz val="8"/>
        <rFont val="Arial"/>
        <family val="2"/>
      </rPr>
      <t xml:space="preserve">
Non-Qataris Marriages</t>
    </r>
  </si>
  <si>
    <r>
      <t>عقود الزواج قطريون</t>
    </r>
    <r>
      <rPr>
        <b/>
        <sz val="8"/>
        <rFont val="Arial"/>
        <family val="2"/>
      </rPr>
      <t xml:space="preserve"> 
Marriages Qataris</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</si>
</sst>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0.0"/>
  </numFmts>
  <fonts count="91">
    <font>
      <sz val="11"/>
      <color theme="1"/>
      <name val="Calibri"/>
      <family val="2"/>
      <charset val="178"/>
      <scheme val="minor"/>
    </font>
    <font>
      <sz val="10"/>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sz val="10"/>
      <name val="Arial"/>
      <family val="2"/>
      <charset val="178"/>
    </font>
    <font>
      <b/>
      <sz val="14"/>
      <name val="Arial"/>
      <family val="2"/>
    </font>
    <font>
      <b/>
      <sz val="13"/>
      <name val="Arial"/>
      <family val="2"/>
    </font>
    <font>
      <b/>
      <sz val="10"/>
      <name val="Arial"/>
      <family val="2"/>
    </font>
    <font>
      <b/>
      <sz val="11"/>
      <name val="Arial"/>
      <family val="2"/>
    </font>
    <font>
      <sz val="11"/>
      <name val="Arial"/>
      <family val="2"/>
    </font>
    <font>
      <sz val="9"/>
      <name val="Arial"/>
      <family val="2"/>
    </font>
    <font>
      <b/>
      <sz val="8"/>
      <name val="Arial"/>
      <family val="2"/>
      <charset val="178"/>
    </font>
    <font>
      <b/>
      <sz val="12"/>
      <name val="Courier New"/>
      <family val="3"/>
    </font>
    <font>
      <b/>
      <sz val="9"/>
      <name val="Arial"/>
      <family val="2"/>
      <charset val="178"/>
    </font>
    <font>
      <b/>
      <vertAlign val="superscript"/>
      <sz val="12"/>
      <name val="Arial"/>
      <family val="2"/>
    </font>
    <font>
      <b/>
      <sz val="10"/>
      <name val="Arial"/>
      <family val="2"/>
      <charset val="178"/>
    </font>
    <font>
      <sz val="12"/>
      <name val="Courier New"/>
      <family val="3"/>
    </font>
    <font>
      <sz val="9"/>
      <name val="Arial"/>
      <family val="2"/>
      <charset val="178"/>
    </font>
    <font>
      <b/>
      <sz val="8"/>
      <color indexed="10"/>
      <name val="Arial"/>
      <family val="2"/>
    </font>
    <font>
      <sz val="6"/>
      <name val="Arial"/>
      <family val="2"/>
    </font>
    <font>
      <sz val="8"/>
      <name val="Arial"/>
      <family val="2"/>
    </font>
    <font>
      <b/>
      <sz val="11"/>
      <color theme="0"/>
      <name val="Arial"/>
      <family val="2"/>
      <charset val="178"/>
    </font>
    <font>
      <b/>
      <sz val="10"/>
      <color rgb="FFFF0000"/>
      <name val="Arial"/>
      <family val="2"/>
    </font>
    <font>
      <b/>
      <sz val="12"/>
      <color indexed="10"/>
      <name val="Arial"/>
      <family val="2"/>
      <charset val="178"/>
    </font>
    <font>
      <sz val="10"/>
      <color theme="1"/>
      <name val="Arial"/>
      <family val="2"/>
    </font>
    <font>
      <b/>
      <sz val="12"/>
      <color theme="1"/>
      <name val="Arial"/>
      <family val="2"/>
    </font>
    <font>
      <sz val="11"/>
      <color theme="1"/>
      <name val="Arial"/>
      <family val="2"/>
    </font>
    <font>
      <b/>
      <sz val="11"/>
      <color theme="1"/>
      <name val="Arial"/>
      <family val="2"/>
    </font>
    <font>
      <sz val="10"/>
      <name val="Arial"/>
      <family val="2"/>
    </font>
    <font>
      <b/>
      <sz val="10"/>
      <name val="Arial"/>
      <family val="2"/>
    </font>
    <font>
      <b/>
      <sz val="12"/>
      <name val="Arial"/>
      <family val="2"/>
    </font>
    <font>
      <b/>
      <sz val="11"/>
      <name val="Arial"/>
      <family val="2"/>
    </font>
    <font>
      <b/>
      <sz val="10"/>
      <color theme="1"/>
      <name val="Arial"/>
      <family val="2"/>
    </font>
    <font>
      <b/>
      <sz val="10"/>
      <color indexed="8"/>
      <name val="Arial"/>
      <family val="2"/>
    </font>
    <font>
      <b/>
      <sz val="11"/>
      <color theme="1"/>
      <name val="Arial"/>
      <family val="2"/>
    </font>
    <font>
      <sz val="11"/>
      <color theme="1"/>
      <name val="Arial"/>
      <family val="2"/>
    </font>
    <font>
      <b/>
      <sz val="10"/>
      <name val="Arial"/>
      <family val="2"/>
    </font>
    <font>
      <b/>
      <sz val="12"/>
      <name val="Arial"/>
      <family val="2"/>
    </font>
    <font>
      <sz val="11"/>
      <color theme="1"/>
      <name val="Calibri"/>
      <family val="2"/>
      <scheme val="minor"/>
    </font>
    <font>
      <b/>
      <sz val="11"/>
      <color theme="1"/>
      <name val="Arial"/>
      <family val="2"/>
    </font>
    <font>
      <sz val="10"/>
      <color theme="1"/>
      <name val="Arial"/>
      <family val="2"/>
    </font>
    <font>
      <b/>
      <sz val="10"/>
      <color theme="1"/>
      <name val="Arial"/>
      <family val="2"/>
    </font>
    <font>
      <b/>
      <sz val="7"/>
      <name val="Arial"/>
      <family val="2"/>
    </font>
    <font>
      <sz val="11"/>
      <color theme="1"/>
      <name val="Calibri"/>
      <family val="2"/>
      <charset val="178"/>
      <scheme val="minor"/>
    </font>
    <font>
      <sz val="14"/>
      <name val="Arial"/>
      <family val="2"/>
    </font>
    <font>
      <b/>
      <sz val="9"/>
      <color theme="1"/>
      <name val="Arial"/>
      <family val="2"/>
    </font>
    <font>
      <sz val="9"/>
      <color theme="1"/>
      <name val="Arial"/>
      <family val="2"/>
    </font>
    <font>
      <b/>
      <sz val="7"/>
      <color theme="1"/>
      <name val="Arial"/>
      <family val="2"/>
    </font>
    <font>
      <b/>
      <sz val="8"/>
      <color theme="1"/>
      <name val="Arial"/>
      <family val="2"/>
    </font>
    <font>
      <sz val="10"/>
      <color rgb="FFFF0000"/>
      <name val="Arial"/>
      <family val="2"/>
    </font>
    <font>
      <b/>
      <sz val="10"/>
      <color theme="1"/>
      <name val="Arial"/>
      <family val="2"/>
    </font>
    <font>
      <b/>
      <sz val="11"/>
      <color theme="1"/>
      <name val="Arial"/>
      <family val="2"/>
    </font>
    <font>
      <b/>
      <sz val="20"/>
      <name val="Arabic Transparent"/>
      <charset val="178"/>
    </font>
    <font>
      <sz val="14"/>
      <name val="Arabic Transparent"/>
      <charset val="178"/>
    </font>
    <font>
      <sz val="10"/>
      <name val="Times New Roman"/>
      <family val="1"/>
    </font>
    <font>
      <b/>
      <sz val="14"/>
      <name val="Arabic Transparent"/>
      <charset val="178"/>
    </font>
    <font>
      <sz val="12"/>
      <name val="Times New Roman"/>
      <family val="1"/>
    </font>
    <font>
      <b/>
      <sz val="15"/>
      <name val="AF_Najed"/>
      <charset val="178"/>
    </font>
    <font>
      <sz val="12"/>
      <name val="Arial"/>
      <family val="2"/>
    </font>
    <font>
      <b/>
      <sz val="14"/>
      <color rgb="FF993366"/>
      <name val="Arial"/>
      <family val="2"/>
    </font>
    <font>
      <sz val="16"/>
      <color rgb="FF993366"/>
      <name val="Arial"/>
      <family val="2"/>
    </font>
    <font>
      <b/>
      <sz val="20"/>
      <color rgb="FF993366"/>
      <name val="Arial"/>
      <family val="2"/>
    </font>
    <font>
      <u/>
      <sz val="11"/>
      <color theme="10"/>
      <name val="Calibri"/>
      <family val="2"/>
      <charset val="178"/>
      <scheme val="minor"/>
    </font>
    <font>
      <b/>
      <sz val="12"/>
      <color rgb="FF0000FF"/>
      <name val="Arial"/>
      <family val="2"/>
    </font>
    <font>
      <b/>
      <sz val="9"/>
      <color indexed="12"/>
      <name val="Arial"/>
      <family val="2"/>
    </font>
    <font>
      <b/>
      <sz val="11"/>
      <color indexed="12"/>
      <name val="PT Bold Heading"/>
      <charset val="178"/>
    </font>
    <font>
      <b/>
      <sz val="12"/>
      <color rgb="FF993366"/>
      <name val="Arial"/>
      <family val="2"/>
    </font>
    <font>
      <b/>
      <sz val="10"/>
      <color rgb="FF993366"/>
      <name val="Traditional Arabic"/>
      <family val="1"/>
    </font>
    <font>
      <b/>
      <sz val="11"/>
      <color rgb="FF993366"/>
      <name val="PT Bold Heading"/>
      <charset val="178"/>
    </font>
    <font>
      <b/>
      <sz val="10"/>
      <name val="Traditional Arabic"/>
      <family val="1"/>
    </font>
    <font>
      <b/>
      <sz val="13"/>
      <name val="Arabic Transparent"/>
      <charset val="178"/>
    </font>
    <font>
      <b/>
      <sz val="11"/>
      <name val="Traditional Arabic"/>
      <family val="1"/>
    </font>
    <font>
      <b/>
      <sz val="16"/>
      <color indexed="12"/>
      <name val="Arial"/>
      <family val="2"/>
    </font>
    <font>
      <sz val="10"/>
      <color rgb="FF993366"/>
      <name val="Arial"/>
      <family val="2"/>
    </font>
    <font>
      <b/>
      <sz val="16"/>
      <name val="Arial"/>
      <family val="2"/>
    </font>
    <font>
      <b/>
      <sz val="16"/>
      <color rgb="FF993366"/>
      <name val="Arial"/>
      <family val="2"/>
    </font>
    <font>
      <b/>
      <sz val="10"/>
      <name val="Arabic Transparent"/>
      <charset val="178"/>
    </font>
    <font>
      <sz val="10"/>
      <name val="Arabic Transparent"/>
      <charset val="178"/>
    </font>
    <font>
      <sz val="9"/>
      <name val="Arabic Transparent"/>
      <charset val="178"/>
    </font>
    <font>
      <b/>
      <sz val="24"/>
      <name val="AdvertisingBold"/>
      <charset val="178"/>
    </font>
    <font>
      <b/>
      <sz val="24"/>
      <name val="Sakkal Majalla"/>
    </font>
    <font>
      <sz val="10"/>
      <color rgb="FF000000"/>
      <name val="Arial"/>
      <family val="2"/>
    </font>
    <font>
      <vertAlign val="superscript"/>
      <sz val="10"/>
      <name val="Arial"/>
      <family val="2"/>
    </font>
    <font>
      <b/>
      <vertAlign val="superscript"/>
      <sz val="10"/>
      <name val="Arial"/>
      <family val="2"/>
    </font>
  </fonts>
  <fills count="8">
    <fill>
      <patternFill patternType="none"/>
    </fill>
    <fill>
      <patternFill patternType="gray125"/>
    </fill>
    <fill>
      <patternFill patternType="solid">
        <fgColor indexed="43"/>
        <bgColor indexed="64"/>
      </patternFill>
    </fill>
    <fill>
      <patternFill patternType="solid">
        <fgColor theme="2"/>
        <bgColor indexed="64"/>
      </patternFill>
    </fill>
    <fill>
      <patternFill patternType="solid">
        <fgColor indexed="22"/>
        <bgColor indexed="64"/>
      </patternFill>
    </fill>
    <fill>
      <patternFill patternType="solid">
        <fgColor indexed="61"/>
        <bgColor indexed="64"/>
      </patternFill>
    </fill>
    <fill>
      <patternFill patternType="solid">
        <fgColor theme="0"/>
        <bgColor indexed="64"/>
      </patternFill>
    </fill>
    <fill>
      <patternFill patternType="solid">
        <fgColor rgb="FFEEECE1"/>
        <bgColor indexed="64"/>
      </patternFill>
    </fill>
  </fills>
  <borders count="94">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medium">
        <color theme="0"/>
      </top>
      <bottom style="thin">
        <color indexed="64"/>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thick">
        <color indexed="64"/>
      </left>
      <right/>
      <top/>
      <bottom style="thick">
        <color indexed="64"/>
      </bottom>
      <diagonal/>
    </border>
    <border>
      <left style="thick">
        <color indexed="64"/>
      </left>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theme="0"/>
      </left>
      <right/>
      <top/>
      <bottom/>
      <diagonal/>
    </border>
    <border>
      <left style="medium">
        <color theme="0"/>
      </left>
      <right style="medium">
        <color theme="0"/>
      </right>
      <top/>
      <bottom/>
      <diagonal/>
    </border>
    <border>
      <left/>
      <right style="medium">
        <color theme="0"/>
      </right>
      <top/>
      <bottom/>
      <diagonal/>
    </border>
    <border>
      <left/>
      <right style="medium">
        <color theme="0"/>
      </right>
      <top/>
      <bottom style="thin">
        <color indexed="64"/>
      </bottom>
      <diagonal/>
    </border>
    <border>
      <left style="medium">
        <color theme="0"/>
      </left>
      <right/>
      <top/>
      <bottom style="thin">
        <color indexed="64"/>
      </bottom>
      <diagonal/>
    </border>
    <border>
      <left/>
      <right/>
      <top/>
      <bottom style="medium">
        <color theme="0"/>
      </bottom>
      <diagonal/>
    </border>
    <border>
      <left/>
      <right/>
      <top style="medium">
        <color theme="0"/>
      </top>
      <bottom/>
      <diagonal/>
    </border>
    <border>
      <left style="medium">
        <color theme="0"/>
      </left>
      <right/>
      <top style="thin">
        <color indexed="64"/>
      </top>
      <bottom/>
      <diagonal/>
    </border>
    <border>
      <left/>
      <right style="medium">
        <color theme="0"/>
      </right>
      <top style="thin">
        <color indexed="64"/>
      </top>
      <bottom/>
      <diagonal/>
    </border>
    <border>
      <left/>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style="medium">
        <color theme="0"/>
      </left>
      <right style="medium">
        <color theme="0"/>
      </right>
      <top style="thin">
        <color indexed="64"/>
      </top>
      <bottom style="medium">
        <color indexed="64"/>
      </bottom>
      <diagonal/>
    </border>
    <border>
      <left style="medium">
        <color theme="0"/>
      </left>
      <right style="medium">
        <color theme="0"/>
      </right>
      <top style="thin">
        <color theme="1"/>
      </top>
      <bottom style="medium">
        <color theme="0"/>
      </bottom>
      <diagonal/>
    </border>
    <border>
      <left/>
      <right style="medium">
        <color theme="0"/>
      </right>
      <top style="thin">
        <color theme="1"/>
      </top>
      <bottom style="medium">
        <color theme="0"/>
      </bottom>
      <diagonal/>
    </border>
    <border>
      <left style="medium">
        <color theme="0"/>
      </left>
      <right/>
      <top style="thin">
        <color theme="1"/>
      </top>
      <bottom style="medium">
        <color theme="0"/>
      </bottom>
      <diagonal/>
    </border>
    <border>
      <left/>
      <right style="medium">
        <color theme="0"/>
      </right>
      <top style="medium">
        <color theme="0"/>
      </top>
      <bottom style="thin">
        <color theme="1"/>
      </bottom>
      <diagonal/>
    </border>
    <border>
      <left style="medium">
        <color theme="0"/>
      </left>
      <right style="medium">
        <color theme="0"/>
      </right>
      <top style="medium">
        <color theme="0"/>
      </top>
      <bottom style="thin">
        <color theme="1"/>
      </bottom>
      <diagonal/>
    </border>
    <border>
      <left style="medium">
        <color theme="0"/>
      </left>
      <right/>
      <top style="medium">
        <color theme="0"/>
      </top>
      <bottom style="thin">
        <color theme="1"/>
      </bottom>
      <diagonal/>
    </border>
    <border>
      <left/>
      <right/>
      <top style="thin">
        <color theme="1"/>
      </top>
      <bottom style="thin">
        <color theme="1"/>
      </bottom>
      <diagonal/>
    </border>
    <border>
      <left style="medium">
        <color theme="0"/>
      </left>
      <right style="medium">
        <color theme="0"/>
      </right>
      <top style="thin">
        <color theme="1"/>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diagonal/>
    </border>
    <border>
      <left/>
      <right/>
      <top style="medium">
        <color indexed="64"/>
      </top>
      <bottom/>
      <diagonal/>
    </border>
    <border>
      <left style="medium">
        <color theme="0"/>
      </left>
      <right style="medium">
        <color theme="0"/>
      </right>
      <top style="thin">
        <color indexed="64"/>
      </top>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top style="thin">
        <color indexed="64"/>
      </top>
      <bottom style="thin">
        <color indexed="64"/>
      </bottom>
      <diagonal/>
    </border>
    <border>
      <left style="medium">
        <color theme="0"/>
      </left>
      <right/>
      <top style="thin">
        <color indexed="64"/>
      </top>
      <bottom/>
      <diagonal/>
    </border>
    <border>
      <left/>
      <right style="medium">
        <color theme="0"/>
      </right>
      <top style="thin">
        <color indexed="64"/>
      </top>
      <bottom/>
      <diagonal/>
    </border>
    <border>
      <left style="thin">
        <color indexed="60"/>
      </left>
      <right style="thin">
        <color indexed="60"/>
      </right>
      <top/>
      <bottom style="thin">
        <color indexed="60"/>
      </bottom>
      <diagonal/>
    </border>
    <border>
      <left style="thin">
        <color indexed="60"/>
      </left>
      <right style="thin">
        <color indexed="60"/>
      </right>
      <top/>
      <bottom/>
      <diagonal/>
    </border>
    <border>
      <left style="thin">
        <color indexed="60"/>
      </left>
      <right style="thin">
        <color indexed="60"/>
      </right>
      <top style="thin">
        <color indexed="60"/>
      </top>
      <bottom style="thin">
        <color indexed="60"/>
      </bottom>
      <diagonal/>
    </border>
    <border>
      <left/>
      <right style="thin">
        <color indexed="60"/>
      </right>
      <top style="thin">
        <color indexed="60"/>
      </top>
      <bottom style="thin">
        <color indexed="60"/>
      </bottom>
      <diagonal/>
    </border>
    <border>
      <left/>
      <right/>
      <top style="thin">
        <color indexed="60"/>
      </top>
      <bottom style="thin">
        <color indexed="60"/>
      </bottom>
      <diagonal/>
    </border>
    <border>
      <left style="thin">
        <color indexed="60"/>
      </left>
      <right/>
      <top style="thin">
        <color indexed="60"/>
      </top>
      <bottom style="thin">
        <color indexed="60"/>
      </bottom>
      <diagonal/>
    </border>
    <border>
      <left/>
      <right style="double">
        <color rgb="FF993300"/>
      </right>
      <top/>
      <bottom style="double">
        <color rgb="FF993300"/>
      </bottom>
      <diagonal/>
    </border>
    <border>
      <left/>
      <right/>
      <top/>
      <bottom style="double">
        <color rgb="FF993300"/>
      </bottom>
      <diagonal/>
    </border>
    <border>
      <left style="double">
        <color indexed="60"/>
      </left>
      <right/>
      <top/>
      <bottom style="double">
        <color rgb="FF993300"/>
      </bottom>
      <diagonal/>
    </border>
    <border>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bottom style="medium">
        <color theme="5"/>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medium">
        <color rgb="FFFFFFFF"/>
      </left>
      <right/>
      <top style="medium">
        <color indexed="64"/>
      </top>
      <bottom style="medium">
        <color rgb="FFFFFFFF"/>
      </bottom>
      <diagonal/>
    </border>
    <border>
      <left style="medium">
        <color rgb="FFFFFFFF"/>
      </left>
      <right/>
      <top/>
      <bottom style="medium">
        <color rgb="FFFFFFFF"/>
      </bottom>
      <diagonal/>
    </border>
    <border>
      <left/>
      <right/>
      <top style="thin">
        <color auto="1"/>
      </top>
      <bottom style="medium">
        <color theme="0"/>
      </bottom>
      <diagonal/>
    </border>
    <border>
      <left style="medium">
        <color theme="0"/>
      </left>
      <right style="medium">
        <color theme="0"/>
      </right>
      <top style="thin">
        <color auto="1"/>
      </top>
      <bottom style="medium">
        <color theme="0"/>
      </bottom>
      <diagonal/>
    </border>
    <border>
      <left style="medium">
        <color theme="0"/>
      </left>
      <right/>
      <top style="thin">
        <color auto="1"/>
      </top>
      <bottom style="medium">
        <color theme="0"/>
      </bottom>
      <diagonal/>
    </border>
    <border>
      <left/>
      <right style="medium">
        <color theme="0"/>
      </right>
      <top style="thin">
        <color indexed="64"/>
      </top>
      <bottom style="medium">
        <color theme="0"/>
      </bottom>
      <diagonal/>
    </border>
    <border>
      <left style="medium">
        <color theme="0"/>
      </left>
      <right style="medium">
        <color rgb="FFFFFFFF"/>
      </right>
      <top style="thin">
        <color indexed="64"/>
      </top>
      <bottom style="medium">
        <color rgb="FFFFFFFF"/>
      </bottom>
      <diagonal/>
    </border>
    <border>
      <left style="medium">
        <color theme="0"/>
      </left>
      <right/>
      <top style="thin">
        <color indexed="64"/>
      </top>
      <bottom style="medium">
        <color rgb="FFFFFFFF"/>
      </bottom>
      <diagonal/>
    </border>
    <border>
      <left style="medium">
        <color theme="0"/>
      </left>
      <right style="medium">
        <color theme="0"/>
      </right>
      <top style="thin">
        <color theme="1"/>
      </top>
      <bottom style="thin">
        <color indexed="64"/>
      </bottom>
      <diagonal/>
    </border>
    <border>
      <left style="medium">
        <color theme="0"/>
      </left>
      <right style="medium">
        <color theme="0"/>
      </right>
      <top style="thin">
        <color theme="1"/>
      </top>
      <bottom style="thin">
        <color theme="1"/>
      </bottom>
      <diagonal/>
    </border>
  </borders>
  <cellStyleXfs count="51">
    <xf numFmtId="0" fontId="0" fillId="0" borderId="0"/>
    <xf numFmtId="0" fontId="1" fillId="0" borderId="0"/>
    <xf numFmtId="0" fontId="2" fillId="0" borderId="0" applyAlignment="0">
      <alignment horizontal="centerContinuous" vertical="center"/>
    </xf>
    <xf numFmtId="0" fontId="2" fillId="0" borderId="0" applyAlignment="0">
      <alignment horizontal="centerContinuous" vertical="center"/>
    </xf>
    <xf numFmtId="0" fontId="3" fillId="0" borderId="0" applyAlignment="0">
      <alignment horizontal="centerContinuous" vertical="center"/>
    </xf>
    <xf numFmtId="0" fontId="3" fillId="0" borderId="0" applyAlignment="0">
      <alignment horizontal="centerContinuous" vertical="center"/>
    </xf>
    <xf numFmtId="0" fontId="4" fillId="2" borderId="1">
      <alignment horizontal="right" vertical="center" wrapText="1"/>
    </xf>
    <xf numFmtId="1" fontId="5" fillId="2" borderId="2">
      <alignment horizontal="left" vertical="center" wrapText="1"/>
    </xf>
    <xf numFmtId="1" fontId="6" fillId="2" borderId="3">
      <alignment horizontal="center" vertical="center"/>
    </xf>
    <xf numFmtId="0" fontId="7" fillId="2" borderId="3">
      <alignment horizontal="center" vertical="center" wrapText="1"/>
    </xf>
    <xf numFmtId="0" fontId="8" fillId="2" borderId="3">
      <alignment horizontal="center" vertical="center" wrapText="1"/>
    </xf>
    <xf numFmtId="0" fontId="1" fillId="0" borderId="0">
      <alignment horizontal="center" vertical="center" readingOrder="2"/>
    </xf>
    <xf numFmtId="0" fontId="9" fillId="0" borderId="0">
      <alignment horizontal="left" vertical="center"/>
    </xf>
    <xf numFmtId="0" fontId="10" fillId="0" borderId="0">
      <alignment horizontal="right" vertical="center"/>
    </xf>
    <xf numFmtId="0" fontId="4" fillId="0" borderId="0">
      <alignment horizontal="right" vertical="center"/>
    </xf>
    <xf numFmtId="0" fontId="1" fillId="0" borderId="0">
      <alignment horizontal="left" vertical="center"/>
    </xf>
    <xf numFmtId="0" fontId="10" fillId="0" borderId="4">
      <alignment horizontal="right" vertical="center" indent="1"/>
    </xf>
    <xf numFmtId="0" fontId="4" fillId="2" borderId="4">
      <alignment horizontal="right" vertical="center" wrapText="1" indent="1" readingOrder="2"/>
    </xf>
    <xf numFmtId="0" fontId="11" fillId="0" borderId="4">
      <alignment horizontal="right" vertical="center" indent="1"/>
    </xf>
    <xf numFmtId="0" fontId="11" fillId="2" borderId="4">
      <alignment horizontal="left" vertical="center" wrapText="1" indent="1"/>
    </xf>
    <xf numFmtId="0" fontId="11" fillId="0" borderId="5">
      <alignment horizontal="left" vertical="center"/>
    </xf>
    <xf numFmtId="0" fontId="11" fillId="0" borderId="6">
      <alignment horizontal="left" vertical="center"/>
    </xf>
    <xf numFmtId="0" fontId="25" fillId="0" borderId="0">
      <alignment horizontal="left" vertical="center"/>
    </xf>
    <xf numFmtId="0" fontId="1" fillId="0" borderId="0">
      <alignment horizontal="left" vertical="center"/>
    </xf>
    <xf numFmtId="0" fontId="4" fillId="0" borderId="0">
      <alignment horizontal="right" vertical="center"/>
    </xf>
    <xf numFmtId="0" fontId="30" fillId="2" borderId="3" applyAlignment="0">
      <alignment horizontal="center" vertical="center"/>
    </xf>
    <xf numFmtId="0" fontId="4" fillId="2" borderId="1">
      <alignment horizontal="right" vertical="center" wrapText="1"/>
    </xf>
    <xf numFmtId="0" fontId="2" fillId="0" borderId="0" applyAlignment="0">
      <alignment horizontal="centerContinuous" vertical="center"/>
    </xf>
    <xf numFmtId="0" fontId="3" fillId="0" borderId="0" applyAlignment="0">
      <alignment horizontal="centerContinuous" vertical="center"/>
    </xf>
    <xf numFmtId="0" fontId="1" fillId="0" borderId="0"/>
    <xf numFmtId="0" fontId="1" fillId="0" borderId="0">
      <alignment horizontal="left" vertical="center"/>
    </xf>
    <xf numFmtId="0" fontId="1" fillId="0" borderId="0">
      <alignment horizontal="left" vertical="center"/>
    </xf>
    <xf numFmtId="0" fontId="4" fillId="2" borderId="4">
      <alignment horizontal="right" vertical="center" wrapText="1" indent="1" readingOrder="2"/>
    </xf>
    <xf numFmtId="0" fontId="1" fillId="0" borderId="0"/>
    <xf numFmtId="0" fontId="45" fillId="0" borderId="0"/>
    <xf numFmtId="43" fontId="1" fillId="0" borderId="0" applyFont="0" applyFill="0" applyBorder="0" applyAlignment="0" applyProtection="0"/>
    <xf numFmtId="0" fontId="4" fillId="2" borderId="1">
      <alignment horizontal="right" vertical="center" wrapText="1"/>
    </xf>
    <xf numFmtId="0" fontId="8" fillId="2" borderId="3">
      <alignment horizontal="center" vertical="center" wrapText="1"/>
    </xf>
    <xf numFmtId="0" fontId="8" fillId="2" borderId="3">
      <alignment horizontal="center" vertical="center" wrapText="1"/>
    </xf>
    <xf numFmtId="0" fontId="1" fillId="0" borderId="0">
      <alignment horizontal="center" vertical="center" readingOrder="2"/>
    </xf>
    <xf numFmtId="0" fontId="1" fillId="0" borderId="0"/>
    <xf numFmtId="0" fontId="50" fillId="0" borderId="0"/>
    <xf numFmtId="0" fontId="50" fillId="0" borderId="0"/>
    <xf numFmtId="0" fontId="50" fillId="0" borderId="0"/>
    <xf numFmtId="0" fontId="50" fillId="0" borderId="0"/>
    <xf numFmtId="0" fontId="50" fillId="0" borderId="0"/>
    <xf numFmtId="0" fontId="4" fillId="0" borderId="0">
      <alignment horizontal="right" vertical="center"/>
    </xf>
    <xf numFmtId="0" fontId="1" fillId="0" borderId="0">
      <alignment horizontal="left" vertical="center"/>
    </xf>
    <xf numFmtId="0" fontId="4" fillId="2" borderId="4">
      <alignment horizontal="right" vertical="center" wrapText="1" indent="1" readingOrder="2"/>
    </xf>
    <xf numFmtId="0" fontId="4" fillId="2" borderId="4">
      <alignment horizontal="right" vertical="center" wrapText="1" indent="1" readingOrder="2"/>
    </xf>
    <xf numFmtId="0" fontId="69" fillId="0" borderId="0" applyNumberFormat="0" applyFill="0" applyBorder="0" applyAlignment="0" applyProtection="0"/>
  </cellStyleXfs>
  <cellXfs count="1252">
    <xf numFmtId="0" fontId="0" fillId="0" borderId="0" xfId="0"/>
    <xf numFmtId="0" fontId="1" fillId="0" borderId="0" xfId="1"/>
    <xf numFmtId="0" fontId="1" fillId="0" borderId="0" xfId="1" applyFont="1"/>
    <xf numFmtId="0" fontId="12" fillId="0" borderId="0" xfId="1" applyFont="1" applyAlignment="1">
      <alignment vertical="center" readingOrder="2"/>
    </xf>
    <xf numFmtId="0" fontId="4" fillId="0" borderId="0" xfId="1" applyFont="1" applyAlignment="1">
      <alignment horizontal="right" vertical="center" readingOrder="2"/>
    </xf>
    <xf numFmtId="0" fontId="1" fillId="0" borderId="0" xfId="1" applyAlignment="1">
      <alignment vertical="center"/>
    </xf>
    <xf numFmtId="0" fontId="15" fillId="0" borderId="13" xfId="1" applyFont="1" applyFill="1" applyBorder="1" applyAlignment="1">
      <alignment horizontal="center" vertical="center" wrapText="1" readingOrder="2"/>
    </xf>
    <xf numFmtId="0" fontId="14" fillId="0" borderId="14" xfId="1" applyFont="1" applyFill="1" applyBorder="1" applyAlignment="1">
      <alignment horizontal="right" vertical="center" indent="1" readingOrder="1"/>
    </xf>
    <xf numFmtId="164" fontId="14" fillId="0" borderId="14" xfId="1" applyNumberFormat="1" applyFont="1" applyFill="1" applyBorder="1" applyAlignment="1">
      <alignment horizontal="right" vertical="center" indent="1" readingOrder="1"/>
    </xf>
    <xf numFmtId="164" fontId="14" fillId="3" borderId="17" xfId="1" applyNumberFormat="1" applyFont="1" applyFill="1" applyBorder="1" applyAlignment="1">
      <alignment horizontal="right" vertical="center" indent="1" readingOrder="1"/>
    </xf>
    <xf numFmtId="164" fontId="14" fillId="0" borderId="17" xfId="1" applyNumberFormat="1" applyFont="1" applyFill="1" applyBorder="1" applyAlignment="1">
      <alignment horizontal="right" vertical="center" indent="1" readingOrder="1"/>
    </xf>
    <xf numFmtId="164" fontId="14" fillId="0" borderId="20" xfId="1" applyNumberFormat="1" applyFont="1" applyFill="1" applyBorder="1" applyAlignment="1">
      <alignment horizontal="right" vertical="center" indent="1" readingOrder="1"/>
    </xf>
    <xf numFmtId="164" fontId="1" fillId="0" borderId="0" xfId="1" applyNumberFormat="1"/>
    <xf numFmtId="0" fontId="1" fillId="0" borderId="0" xfId="1" applyAlignment="1">
      <alignment wrapText="1"/>
    </xf>
    <xf numFmtId="0" fontId="4" fillId="3" borderId="10" xfId="17" applyFont="1" applyFill="1" applyBorder="1" applyAlignment="1">
      <alignment horizontal="center" vertical="center" wrapText="1" readingOrder="2"/>
    </xf>
    <xf numFmtId="0" fontId="14" fillId="0" borderId="18" xfId="17" applyFont="1" applyFill="1" applyBorder="1" applyAlignment="1">
      <alignment horizontal="center" vertical="center" wrapText="1" readingOrder="1"/>
    </xf>
    <xf numFmtId="0" fontId="4" fillId="0" borderId="16" xfId="17" applyFont="1" applyFill="1" applyBorder="1" applyAlignment="1">
      <alignment horizontal="center" vertical="center" wrapText="1" readingOrder="2"/>
    </xf>
    <xf numFmtId="0" fontId="14" fillId="3" borderId="18" xfId="17" applyFont="1" applyFill="1" applyBorder="1" applyAlignment="1">
      <alignment horizontal="center" vertical="center" wrapText="1" readingOrder="1"/>
    </xf>
    <xf numFmtId="3" fontId="14" fillId="3" borderId="17" xfId="1" applyNumberFormat="1" applyFont="1" applyFill="1" applyBorder="1" applyAlignment="1">
      <alignment horizontal="right" vertical="center" indent="1" readingOrder="1"/>
    </xf>
    <xf numFmtId="0" fontId="4" fillId="3" borderId="16" xfId="17" applyFont="1" applyFill="1" applyBorder="1" applyAlignment="1">
      <alignment horizontal="center" vertical="center" wrapText="1" readingOrder="2"/>
    </xf>
    <xf numFmtId="0" fontId="14" fillId="0" borderId="15" xfId="17" applyFont="1" applyFill="1" applyBorder="1" applyAlignment="1">
      <alignment horizontal="center" vertical="center" wrapText="1" readingOrder="1"/>
    </xf>
    <xf numFmtId="3" fontId="14" fillId="0" borderId="14" xfId="1" applyNumberFormat="1" applyFont="1" applyFill="1" applyBorder="1" applyAlignment="1">
      <alignment horizontal="right" vertical="center" indent="1" readingOrder="1"/>
    </xf>
    <xf numFmtId="3" fontId="1" fillId="0" borderId="14" xfId="1" applyNumberFormat="1" applyFont="1" applyFill="1" applyBorder="1" applyAlignment="1">
      <alignment horizontal="right" vertical="center" indent="1" readingOrder="1"/>
    </xf>
    <xf numFmtId="0" fontId="4" fillId="0" borderId="13" xfId="17" applyFont="1" applyFill="1" applyBorder="1" applyAlignment="1">
      <alignment horizontal="center" vertical="center" wrapText="1" readingOrder="2"/>
    </xf>
    <xf numFmtId="0" fontId="7" fillId="3" borderId="23" xfId="1" applyFont="1" applyFill="1" applyBorder="1" applyAlignment="1">
      <alignment horizontal="center" vertical="center" wrapText="1" readingOrder="1"/>
    </xf>
    <xf numFmtId="0" fontId="3" fillId="0" borderId="0" xfId="4" applyAlignment="1">
      <alignment readingOrder="1"/>
    </xf>
    <xf numFmtId="164" fontId="1" fillId="3" borderId="11" xfId="18" applyNumberFormat="1" applyFont="1" applyFill="1" applyBorder="1">
      <alignment horizontal="right" vertical="center" indent="1"/>
    </xf>
    <xf numFmtId="164" fontId="1" fillId="0" borderId="17" xfId="18" applyNumberFormat="1" applyFont="1" applyFill="1" applyBorder="1">
      <alignment horizontal="right" vertical="center" indent="1"/>
    </xf>
    <xf numFmtId="164" fontId="1" fillId="3" borderId="17" xfId="18" applyNumberFormat="1" applyFont="1" applyFill="1" applyBorder="1">
      <alignment horizontal="right" vertical="center" indent="1"/>
    </xf>
    <xf numFmtId="0" fontId="14" fillId="0" borderId="9" xfId="17" applyFont="1" applyFill="1" applyBorder="1" applyAlignment="1">
      <alignment horizontal="center" vertical="center" wrapText="1" readingOrder="1"/>
    </xf>
    <xf numFmtId="0" fontId="4" fillId="0" borderId="7" xfId="17" applyFont="1" applyFill="1" applyBorder="1" applyAlignment="1">
      <alignment horizontal="center" vertical="center" wrapText="1" readingOrder="2"/>
    </xf>
    <xf numFmtId="0" fontId="14" fillId="0" borderId="0" xfId="1" applyFont="1"/>
    <xf numFmtId="0" fontId="4" fillId="0" borderId="0" xfId="14" applyFont="1" applyAlignment="1">
      <alignment vertical="center"/>
    </xf>
    <xf numFmtId="3" fontId="1" fillId="0" borderId="17" xfId="18" applyNumberFormat="1" applyFont="1" applyFill="1" applyBorder="1">
      <alignment horizontal="right" vertical="center" indent="1"/>
    </xf>
    <xf numFmtId="3" fontId="1" fillId="3" borderId="17" xfId="18" applyNumberFormat="1" applyFont="1" applyFill="1" applyBorder="1">
      <alignment horizontal="right" vertical="center" indent="1"/>
    </xf>
    <xf numFmtId="3" fontId="1" fillId="0" borderId="14" xfId="18" applyNumberFormat="1" applyFont="1" applyFill="1" applyBorder="1">
      <alignment horizontal="right" vertical="center" indent="1"/>
    </xf>
    <xf numFmtId="0" fontId="7" fillId="3" borderId="27" xfId="1" applyFont="1" applyFill="1" applyBorder="1" applyAlignment="1">
      <alignment horizontal="center" wrapText="1" readingOrder="2"/>
    </xf>
    <xf numFmtId="0" fontId="7" fillId="3" borderId="27" xfId="1" applyFont="1" applyFill="1" applyBorder="1" applyAlignment="1">
      <alignment horizontal="center" wrapText="1" readingOrder="1"/>
    </xf>
    <xf numFmtId="164" fontId="1" fillId="3" borderId="17" xfId="16" applyNumberFormat="1" applyFont="1" applyFill="1" applyBorder="1">
      <alignment horizontal="right" vertical="center" indent="1"/>
    </xf>
    <xf numFmtId="0" fontId="4" fillId="0" borderId="0" xfId="14" applyAlignment="1">
      <alignment vertical="center"/>
    </xf>
    <xf numFmtId="0" fontId="14" fillId="0" borderId="24" xfId="17" applyFont="1" applyFill="1" applyBorder="1" applyAlignment="1">
      <alignment horizontal="center" vertical="center" wrapText="1" readingOrder="1"/>
    </xf>
    <xf numFmtId="0" fontId="1" fillId="3" borderId="21" xfId="17" applyFont="1" applyFill="1" applyBorder="1" applyAlignment="1">
      <alignment horizontal="left" vertical="center" wrapText="1" indent="1" readingOrder="1"/>
    </xf>
    <xf numFmtId="0" fontId="4" fillId="3" borderId="19" xfId="17" applyFont="1" applyFill="1" applyBorder="1" applyAlignment="1">
      <alignment horizontal="right" vertical="center" wrapText="1" indent="1" readingOrder="2"/>
    </xf>
    <xf numFmtId="0" fontId="1" fillId="0" borderId="18" xfId="17" applyFont="1" applyFill="1" applyBorder="1" applyAlignment="1">
      <alignment horizontal="left" vertical="center" wrapText="1" indent="1" readingOrder="1"/>
    </xf>
    <xf numFmtId="0" fontId="1" fillId="3" borderId="18" xfId="17" applyFont="1" applyFill="1" applyBorder="1" applyAlignment="1">
      <alignment horizontal="left" vertical="center" wrapText="1" indent="1" readingOrder="1"/>
    </xf>
    <xf numFmtId="0" fontId="4" fillId="3" borderId="16" xfId="17" applyFont="1" applyFill="1" applyBorder="1" applyAlignment="1">
      <alignment horizontal="right" vertical="center" wrapText="1" indent="1" readingOrder="2"/>
    </xf>
    <xf numFmtId="0" fontId="1" fillId="0" borderId="15" xfId="17" applyFont="1" applyFill="1" applyBorder="1" applyAlignment="1">
      <alignment horizontal="left" vertical="center" wrapText="1" indent="1" readingOrder="1"/>
    </xf>
    <xf numFmtId="0" fontId="1" fillId="0" borderId="29" xfId="1" applyBorder="1" applyAlignment="1">
      <alignment wrapText="1"/>
    </xf>
    <xf numFmtId="0" fontId="1" fillId="0" borderId="30" xfId="1" applyBorder="1" applyAlignment="1">
      <alignment wrapText="1"/>
    </xf>
    <xf numFmtId="164" fontId="14" fillId="0" borderId="23" xfId="17" applyNumberFormat="1" applyFont="1" applyFill="1" applyBorder="1" applyAlignment="1">
      <alignment horizontal="left" vertical="center" wrapText="1" indent="1" readingOrder="1"/>
    </xf>
    <xf numFmtId="0" fontId="4" fillId="0" borderId="22" xfId="17" applyFont="1" applyFill="1" applyBorder="1" applyAlignment="1">
      <alignment horizontal="center" vertical="center" wrapText="1" readingOrder="2"/>
    </xf>
    <xf numFmtId="164" fontId="14" fillId="3" borderId="20" xfId="18" applyNumberFormat="1" applyFont="1" applyFill="1" applyBorder="1">
      <alignment horizontal="right" vertical="center" indent="1"/>
    </xf>
    <xf numFmtId="164" fontId="14" fillId="0" borderId="17" xfId="18" applyNumberFormat="1" applyFont="1" applyFill="1" applyBorder="1">
      <alignment horizontal="right" vertical="center" indent="1"/>
    </xf>
    <xf numFmtId="164" fontId="14" fillId="3" borderId="17" xfId="18" applyNumberFormat="1" applyFont="1" applyFill="1" applyBorder="1">
      <alignment horizontal="right" vertical="center" indent="1"/>
    </xf>
    <xf numFmtId="164" fontId="14" fillId="0" borderId="14" xfId="18" applyNumberFormat="1" applyFont="1" applyFill="1" applyBorder="1">
      <alignment horizontal="right" vertical="center" indent="1"/>
    </xf>
    <xf numFmtId="3" fontId="14" fillId="0" borderId="14" xfId="18" applyNumberFormat="1" applyFont="1" applyFill="1" applyBorder="1">
      <alignment horizontal="right" vertical="center" indent="1"/>
    </xf>
    <xf numFmtId="3" fontId="14" fillId="3" borderId="20" xfId="1" applyNumberFormat="1" applyFont="1" applyFill="1" applyBorder="1" applyAlignment="1">
      <alignment horizontal="right" vertical="center" indent="1" readingOrder="1"/>
    </xf>
    <xf numFmtId="0" fontId="4" fillId="0" borderId="0" xfId="4" applyFont="1" applyAlignment="1">
      <alignment vertical="top" wrapText="1"/>
    </xf>
    <xf numFmtId="0" fontId="4" fillId="0" borderId="0" xfId="4" applyFont="1" applyAlignment="1"/>
    <xf numFmtId="0" fontId="12" fillId="0" borderId="0" xfId="2" applyFont="1" applyAlignment="1"/>
    <xf numFmtId="164" fontId="14" fillId="3" borderId="20" xfId="1" applyNumberFormat="1" applyFont="1" applyFill="1" applyBorder="1" applyAlignment="1">
      <alignment horizontal="right" vertical="center" indent="1" readingOrder="1"/>
    </xf>
    <xf numFmtId="0" fontId="1" fillId="3" borderId="21" xfId="1" applyFont="1" applyFill="1" applyBorder="1" applyAlignment="1">
      <alignment horizontal="left" vertical="center" wrapText="1" indent="1" readingOrder="1"/>
    </xf>
    <xf numFmtId="0" fontId="1" fillId="0" borderId="18" xfId="1" applyFont="1" applyFill="1" applyBorder="1" applyAlignment="1">
      <alignment horizontal="left" vertical="center" wrapText="1" indent="1" readingOrder="1"/>
    </xf>
    <xf numFmtId="0" fontId="1" fillId="3" borderId="18" xfId="1" applyFont="1" applyFill="1" applyBorder="1" applyAlignment="1">
      <alignment horizontal="left" vertical="center" wrapText="1" indent="1" readingOrder="1"/>
    </xf>
    <xf numFmtId="0" fontId="1" fillId="0" borderId="15" xfId="1" applyFont="1" applyFill="1" applyBorder="1" applyAlignment="1">
      <alignment horizontal="left" vertical="center" wrapText="1" indent="1" readingOrder="1"/>
    </xf>
    <xf numFmtId="0" fontId="25" fillId="0" borderId="0" xfId="22">
      <alignment horizontal="left" vertical="center"/>
    </xf>
    <xf numFmtId="0" fontId="15" fillId="4" borderId="20" xfId="1" applyFont="1" applyFill="1" applyBorder="1" applyAlignment="1">
      <alignment vertical="center" wrapText="1" readingOrder="2"/>
    </xf>
    <xf numFmtId="0" fontId="28" fillId="5" borderId="17" xfId="1" applyFont="1" applyFill="1" applyBorder="1" applyAlignment="1">
      <alignment horizontal="center" vertical="center" wrapText="1"/>
    </xf>
    <xf numFmtId="0" fontId="14" fillId="0" borderId="24" xfId="17" applyFont="1" applyFill="1" applyBorder="1" applyAlignment="1">
      <alignment horizontal="left" vertical="center" wrapText="1" indent="1" readingOrder="1"/>
    </xf>
    <xf numFmtId="2" fontId="4" fillId="0" borderId="22" xfId="17" applyNumberFormat="1" applyFont="1" applyFill="1" applyBorder="1" applyAlignment="1">
      <alignment horizontal="right" vertical="center" wrapText="1" indent="1" readingOrder="2"/>
    </xf>
    <xf numFmtId="2" fontId="4" fillId="3" borderId="19" xfId="17" applyNumberFormat="1" applyFont="1" applyFill="1" applyBorder="1" applyAlignment="1">
      <alignment horizontal="right" vertical="center" wrapText="1" indent="1" readingOrder="2"/>
    </xf>
    <xf numFmtId="2" fontId="4" fillId="0" borderId="16" xfId="17" applyNumberFormat="1" applyFont="1" applyFill="1" applyBorder="1" applyAlignment="1">
      <alignment horizontal="right" vertical="center" wrapText="1" indent="1" readingOrder="2"/>
    </xf>
    <xf numFmtId="2" fontId="4" fillId="3" borderId="16" xfId="17" applyNumberFormat="1" applyFont="1" applyFill="1" applyBorder="1" applyAlignment="1">
      <alignment horizontal="right" vertical="center" wrapText="1" indent="1" readingOrder="2"/>
    </xf>
    <xf numFmtId="2" fontId="4" fillId="0" borderId="13" xfId="17" applyNumberFormat="1" applyFont="1" applyFill="1" applyBorder="1" applyAlignment="1">
      <alignment horizontal="right" vertical="center" wrapText="1" indent="1" readingOrder="2"/>
    </xf>
    <xf numFmtId="164" fontId="14" fillId="0" borderId="23" xfId="17" applyNumberFormat="1" applyFont="1" applyFill="1" applyBorder="1" applyAlignment="1">
      <alignment horizontal="left" vertical="center" wrapText="1" indent="1"/>
    </xf>
    <xf numFmtId="0" fontId="14" fillId="3" borderId="21" xfId="17" applyFont="1" applyFill="1" applyBorder="1" applyAlignment="1">
      <alignment horizontal="center" vertical="center" wrapText="1" readingOrder="1"/>
    </xf>
    <xf numFmtId="0" fontId="4" fillId="3" borderId="19" xfId="17" applyFont="1" applyFill="1" applyBorder="1" applyAlignment="1">
      <alignment horizontal="center" vertical="center" wrapText="1" readingOrder="2"/>
    </xf>
    <xf numFmtId="0" fontId="14" fillId="3" borderId="24" xfId="17" applyFont="1" applyFill="1" applyBorder="1" applyAlignment="1">
      <alignment horizontal="center" vertical="center" wrapText="1" readingOrder="1"/>
    </xf>
    <xf numFmtId="164" fontId="14" fillId="3" borderId="23" xfId="17" applyNumberFormat="1" applyFont="1" applyFill="1" applyBorder="1" applyAlignment="1">
      <alignment horizontal="left" vertical="center" wrapText="1" indent="1"/>
    </xf>
    <xf numFmtId="0" fontId="4" fillId="3" borderId="22" xfId="17" applyFont="1" applyFill="1" applyBorder="1" applyAlignment="1">
      <alignment horizontal="center" vertical="center" wrapText="1" readingOrder="2"/>
    </xf>
    <xf numFmtId="0" fontId="29" fillId="0" borderId="0" xfId="1" applyFont="1" applyAlignment="1">
      <alignment horizontal="right" readingOrder="2"/>
    </xf>
    <xf numFmtId="0" fontId="1" fillId="0" borderId="14" xfId="1" applyFont="1" applyFill="1" applyBorder="1" applyAlignment="1">
      <alignment horizontal="right" vertical="center" indent="1" readingOrder="1"/>
    </xf>
    <xf numFmtId="0" fontId="1" fillId="0" borderId="34" xfId="1" applyBorder="1"/>
    <xf numFmtId="0" fontId="1" fillId="0" borderId="35" xfId="1" applyBorder="1"/>
    <xf numFmtId="0" fontId="1" fillId="0" borderId="36" xfId="1" applyBorder="1"/>
    <xf numFmtId="164" fontId="14" fillId="0" borderId="38" xfId="1" applyNumberFormat="1" applyFont="1" applyFill="1" applyBorder="1" applyAlignment="1">
      <alignment horizontal="right" vertical="center" indent="1" readingOrder="1"/>
    </xf>
    <xf numFmtId="0" fontId="15" fillId="4" borderId="18" xfId="1" applyFont="1" applyFill="1" applyBorder="1" applyAlignment="1">
      <alignment horizontal="center" vertical="center" wrapText="1" readingOrder="2"/>
    </xf>
    <xf numFmtId="0" fontId="1" fillId="0" borderId="0" xfId="1" applyAlignment="1">
      <alignment wrapText="1" readingOrder="1"/>
    </xf>
    <xf numFmtId="49" fontId="1" fillId="0" borderId="0" xfId="1" applyNumberFormat="1"/>
    <xf numFmtId="49" fontId="14" fillId="0" borderId="15" xfId="17" applyNumberFormat="1" applyFont="1" applyFill="1" applyBorder="1" applyAlignment="1">
      <alignment horizontal="center" vertical="center" wrapText="1" readingOrder="1"/>
    </xf>
    <xf numFmtId="49" fontId="4" fillId="0" borderId="13" xfId="17" applyNumberFormat="1" applyFont="1" applyFill="1" applyBorder="1" applyAlignment="1">
      <alignment horizontal="center" vertical="center" wrapText="1" readingOrder="2"/>
    </xf>
    <xf numFmtId="0" fontId="4" fillId="0" borderId="40" xfId="17" applyFont="1" applyFill="1" applyBorder="1" applyAlignment="1">
      <alignment horizontal="center" vertical="center" wrapText="1" readingOrder="2"/>
    </xf>
    <xf numFmtId="3" fontId="14" fillId="0" borderId="28" xfId="1" applyNumberFormat="1" applyFont="1" applyFill="1" applyBorder="1" applyAlignment="1">
      <alignment horizontal="right" vertical="center" indent="1" readingOrder="1"/>
    </xf>
    <xf numFmtId="0" fontId="14" fillId="0" borderId="41" xfId="17" applyFont="1" applyFill="1" applyBorder="1" applyAlignment="1">
      <alignment horizontal="center" vertical="center" wrapText="1" readingOrder="1"/>
    </xf>
    <xf numFmtId="0" fontId="0" fillId="0" borderId="0" xfId="0" applyAlignment="1">
      <alignment horizontal="center"/>
    </xf>
    <xf numFmtId="0" fontId="1" fillId="6" borderId="0" xfId="1" applyFill="1"/>
    <xf numFmtId="0" fontId="1" fillId="0" borderId="0" xfId="1" applyBorder="1" applyAlignment="1">
      <alignment wrapText="1"/>
    </xf>
    <xf numFmtId="3" fontId="14" fillId="0" borderId="28" xfId="17" applyNumberFormat="1" applyFont="1" applyFill="1" applyBorder="1" applyAlignment="1">
      <alignment horizontal="left" vertical="center" wrapText="1" indent="1" readingOrder="1"/>
    </xf>
    <xf numFmtId="0" fontId="4" fillId="0" borderId="40" xfId="1" applyFont="1" applyFill="1" applyBorder="1" applyAlignment="1">
      <alignment horizontal="center" vertical="center" readingOrder="2"/>
    </xf>
    <xf numFmtId="0" fontId="14" fillId="0" borderId="41" xfId="1" applyFont="1" applyFill="1" applyBorder="1" applyAlignment="1">
      <alignment horizontal="center" vertical="center" readingOrder="1"/>
    </xf>
    <xf numFmtId="0" fontId="4" fillId="3" borderId="40" xfId="1" applyFont="1" applyFill="1" applyBorder="1" applyAlignment="1">
      <alignment horizontal="center" vertical="center" readingOrder="2"/>
    </xf>
    <xf numFmtId="3" fontId="1" fillId="3" borderId="38" xfId="1" applyNumberFormat="1" applyFont="1" applyFill="1" applyBorder="1" applyAlignment="1">
      <alignment horizontal="right" vertical="center" indent="1" readingOrder="1"/>
    </xf>
    <xf numFmtId="3" fontId="1" fillId="0" borderId="0" xfId="1" applyNumberFormat="1"/>
    <xf numFmtId="0" fontId="1" fillId="0" borderId="15" xfId="1" applyFont="1" applyFill="1" applyBorder="1" applyAlignment="1">
      <alignment horizontal="center" vertical="center" wrapText="1" readingOrder="1"/>
    </xf>
    <xf numFmtId="0" fontId="14" fillId="0" borderId="40" xfId="17" applyFont="1" applyFill="1" applyBorder="1" applyAlignment="1">
      <alignment horizontal="center" vertical="center" wrapText="1" readingOrder="1"/>
    </xf>
    <xf numFmtId="3" fontId="14" fillId="0" borderId="28" xfId="17" applyNumberFormat="1" applyFont="1" applyFill="1" applyBorder="1" applyAlignment="1">
      <alignment horizontal="left" vertical="center" wrapText="1" indent="1"/>
    </xf>
    <xf numFmtId="0" fontId="35" fillId="0" borderId="15" xfId="17" applyFont="1" applyFill="1" applyBorder="1" applyAlignment="1">
      <alignment horizontal="left" vertical="center" wrapText="1" indent="1" readingOrder="1"/>
    </xf>
    <xf numFmtId="0" fontId="35" fillId="0" borderId="37" xfId="17" applyFont="1" applyFill="1" applyBorder="1" applyAlignment="1">
      <alignment horizontal="left" vertical="center" wrapText="1" indent="1" readingOrder="1"/>
    </xf>
    <xf numFmtId="3" fontId="14" fillId="0" borderId="28" xfId="18" applyNumberFormat="1" applyFont="1" applyFill="1" applyBorder="1">
      <alignment horizontal="right" vertical="center" indent="1"/>
    </xf>
    <xf numFmtId="3" fontId="14" fillId="0" borderId="28" xfId="16" applyNumberFormat="1" applyFont="1" applyFill="1" applyBorder="1">
      <alignment horizontal="right" vertical="center" indent="1"/>
    </xf>
    <xf numFmtId="3" fontId="14" fillId="0" borderId="15" xfId="18" applyNumberFormat="1" applyFont="1" applyFill="1" applyBorder="1" applyAlignment="1">
      <alignment horizontal="right" vertical="center" indent="1"/>
    </xf>
    <xf numFmtId="3" fontId="14" fillId="0" borderId="15" xfId="18" applyNumberFormat="1" applyFont="1" applyFill="1" applyBorder="1">
      <alignment horizontal="right" vertical="center" indent="1"/>
    </xf>
    <xf numFmtId="0" fontId="37" fillId="0" borderId="13" xfId="17" applyFont="1" applyFill="1" applyBorder="1" applyAlignment="1">
      <alignment horizontal="center" vertical="center" wrapText="1" readingOrder="2"/>
    </xf>
    <xf numFmtId="0" fontId="4" fillId="3" borderId="40" xfId="17" applyFont="1" applyFill="1" applyBorder="1" applyAlignment="1">
      <alignment horizontal="center" vertical="center" wrapText="1" readingOrder="2"/>
    </xf>
    <xf numFmtId="3" fontId="14" fillId="3" borderId="28" xfId="1" applyNumberFormat="1" applyFont="1" applyFill="1" applyBorder="1" applyAlignment="1">
      <alignment horizontal="right" vertical="center" indent="1" readingOrder="1"/>
    </xf>
    <xf numFmtId="3" fontId="14" fillId="3" borderId="28" xfId="18" applyNumberFormat="1" applyFont="1" applyFill="1" applyBorder="1">
      <alignment horizontal="right" vertical="center" indent="1"/>
    </xf>
    <xf numFmtId="0" fontId="14" fillId="3" borderId="41" xfId="17" applyFont="1" applyFill="1" applyBorder="1" applyAlignment="1">
      <alignment horizontal="center" vertical="center" wrapText="1" readingOrder="1"/>
    </xf>
    <xf numFmtId="0" fontId="38" fillId="0" borderId="13" xfId="1" applyFont="1" applyFill="1" applyBorder="1" applyAlignment="1">
      <alignment horizontal="center" vertical="center" wrapText="1" readingOrder="2"/>
    </xf>
    <xf numFmtId="0" fontId="38" fillId="0" borderId="39" xfId="1" applyFont="1" applyFill="1" applyBorder="1" applyAlignment="1">
      <alignment horizontal="center" vertical="center" wrapText="1" readingOrder="2"/>
    </xf>
    <xf numFmtId="0" fontId="1" fillId="0" borderId="13" xfId="1" applyFont="1" applyFill="1" applyBorder="1" applyAlignment="1">
      <alignment horizontal="right" vertical="center" indent="1" readingOrder="1"/>
    </xf>
    <xf numFmtId="0" fontId="14" fillId="0" borderId="15" xfId="1" applyFont="1" applyFill="1" applyBorder="1" applyAlignment="1">
      <alignment horizontal="right" vertical="center" indent="1" readingOrder="1"/>
    </xf>
    <xf numFmtId="0" fontId="14" fillId="0" borderId="28" xfId="1" applyFont="1" applyFill="1" applyBorder="1" applyAlignment="1">
      <alignment horizontal="right" vertical="center" indent="1" readingOrder="1"/>
    </xf>
    <xf numFmtId="0" fontId="1" fillId="3" borderId="0" xfId="1" applyFill="1"/>
    <xf numFmtId="0" fontId="14" fillId="0" borderId="13" xfId="1" applyFont="1" applyFill="1" applyBorder="1" applyAlignment="1">
      <alignment horizontal="right" vertical="center" indent="1" readingOrder="1"/>
    </xf>
    <xf numFmtId="0" fontId="4" fillId="0" borderId="10" xfId="1" applyFont="1" applyFill="1" applyBorder="1" applyAlignment="1">
      <alignment horizontal="center" vertical="center" readingOrder="2"/>
    </xf>
    <xf numFmtId="49" fontId="37" fillId="0" borderId="13" xfId="17" applyNumberFormat="1" applyFont="1" applyFill="1" applyBorder="1" applyAlignment="1">
      <alignment horizontal="center" vertical="center" wrapText="1" readingOrder="2"/>
    </xf>
    <xf numFmtId="49" fontId="36" fillId="0" borderId="15" xfId="17" applyNumberFormat="1" applyFont="1" applyFill="1" applyBorder="1" applyAlignment="1">
      <alignment horizontal="center" vertical="center" wrapText="1" readingOrder="1"/>
    </xf>
    <xf numFmtId="49" fontId="37" fillId="0" borderId="39" xfId="17" applyNumberFormat="1" applyFont="1" applyFill="1" applyBorder="1" applyAlignment="1">
      <alignment horizontal="center" vertical="center" wrapText="1" readingOrder="2"/>
    </xf>
    <xf numFmtId="49" fontId="36" fillId="0" borderId="37" xfId="17" applyNumberFormat="1" applyFont="1" applyFill="1" applyBorder="1" applyAlignment="1">
      <alignment horizontal="center" vertical="center" wrapText="1" readingOrder="1"/>
    </xf>
    <xf numFmtId="0" fontId="14" fillId="6" borderId="37" xfId="1" applyFont="1" applyFill="1" applyBorder="1" applyAlignment="1">
      <alignment horizontal="center" vertical="center" readingOrder="1"/>
    </xf>
    <xf numFmtId="0" fontId="15" fillId="0"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0" fontId="15" fillId="3" borderId="19" xfId="1" applyFont="1" applyFill="1" applyBorder="1" applyAlignment="1">
      <alignment horizontal="right" vertical="center" wrapText="1" indent="1" readingOrder="2"/>
    </xf>
    <xf numFmtId="0" fontId="15" fillId="0" borderId="13" xfId="1" applyFont="1" applyFill="1" applyBorder="1" applyAlignment="1">
      <alignment horizontal="center" vertical="center" wrapText="1" readingOrder="2"/>
    </xf>
    <xf numFmtId="164" fontId="7" fillId="3" borderId="23" xfId="1" applyNumberFormat="1" applyFont="1" applyFill="1" applyBorder="1" applyAlignment="1">
      <alignment horizontal="center" vertical="center" wrapText="1" readingOrder="1"/>
    </xf>
    <xf numFmtId="0" fontId="0" fillId="0" borderId="0" xfId="0" applyAlignment="1">
      <alignment wrapText="1"/>
    </xf>
    <xf numFmtId="3" fontId="31" fillId="0" borderId="17" xfId="18" applyNumberFormat="1" applyFont="1" applyFill="1" applyBorder="1" applyAlignment="1">
      <alignment horizontal="right" vertical="center" indent="1"/>
    </xf>
    <xf numFmtId="0" fontId="14" fillId="3" borderId="37" xfId="17" applyFont="1" applyFill="1" applyBorder="1" applyAlignment="1">
      <alignment horizontal="center" vertical="center" wrapText="1" readingOrder="1"/>
    </xf>
    <xf numFmtId="164" fontId="1" fillId="3" borderId="38" xfId="1" applyNumberFormat="1" applyFont="1" applyFill="1" applyBorder="1" applyAlignment="1">
      <alignment horizontal="right" vertical="center" indent="1" readingOrder="1"/>
    </xf>
    <xf numFmtId="3" fontId="14" fillId="3" borderId="38" xfId="1" applyNumberFormat="1" applyFont="1" applyFill="1" applyBorder="1" applyAlignment="1">
      <alignment horizontal="right" vertical="center" indent="1" readingOrder="1"/>
    </xf>
    <xf numFmtId="164" fontId="14" fillId="3" borderId="38" xfId="1" applyNumberFormat="1" applyFont="1" applyFill="1" applyBorder="1" applyAlignment="1">
      <alignment horizontal="right" vertical="center" indent="1" readingOrder="1"/>
    </xf>
    <xf numFmtId="3" fontId="31" fillId="6" borderId="14" xfId="0" applyNumberFormat="1" applyFont="1" applyFill="1" applyBorder="1" applyAlignment="1">
      <alignment horizontal="right" vertical="center" indent="1"/>
    </xf>
    <xf numFmtId="3" fontId="39" fillId="6" borderId="14" xfId="0" applyNumberFormat="1" applyFont="1" applyFill="1" applyBorder="1" applyAlignment="1">
      <alignment horizontal="right" vertical="center" indent="1"/>
    </xf>
    <xf numFmtId="3" fontId="39" fillId="6" borderId="17" xfId="0" applyNumberFormat="1" applyFont="1" applyFill="1" applyBorder="1" applyAlignment="1">
      <alignment horizontal="right" vertical="center" indent="1"/>
    </xf>
    <xf numFmtId="0" fontId="4" fillId="0" borderId="7" xfId="17" applyFont="1" applyFill="1" applyBorder="1" applyAlignment="1">
      <alignment horizontal="right" vertical="center" wrapText="1" indent="1" readingOrder="2"/>
    </xf>
    <xf numFmtId="0" fontId="1" fillId="0" borderId="9" xfId="17" applyFont="1" applyFill="1" applyBorder="1" applyAlignment="1">
      <alignment horizontal="left" vertical="center" wrapText="1" indent="1" readingOrder="1"/>
    </xf>
    <xf numFmtId="0" fontId="4" fillId="0" borderId="16" xfId="17" applyFont="1" applyFill="1" applyBorder="1" applyAlignment="1">
      <alignment horizontal="right" vertical="center" wrapText="1" indent="1" readingOrder="2"/>
    </xf>
    <xf numFmtId="164" fontId="14" fillId="0" borderId="8" xfId="18" applyNumberFormat="1" applyFont="1" applyFill="1" applyBorder="1" applyAlignment="1">
      <alignment horizontal="right" vertical="center" indent="1"/>
    </xf>
    <xf numFmtId="164" fontId="14" fillId="3" borderId="17" xfId="18" applyNumberFormat="1" applyFont="1" applyFill="1" applyBorder="1" applyAlignment="1">
      <alignment horizontal="right" vertical="center" indent="1"/>
    </xf>
    <xf numFmtId="164" fontId="14" fillId="0" borderId="17" xfId="18" applyNumberFormat="1" applyFont="1" applyFill="1" applyBorder="1" applyAlignment="1">
      <alignment horizontal="right" vertical="center" indent="1"/>
    </xf>
    <xf numFmtId="164" fontId="14" fillId="3" borderId="20" xfId="18" applyNumberFormat="1" applyFont="1" applyFill="1" applyBorder="1" applyAlignment="1">
      <alignment horizontal="right" vertical="center" indent="1"/>
    </xf>
    <xf numFmtId="3" fontId="31" fillId="0" borderId="14" xfId="1" applyNumberFormat="1" applyFont="1" applyFill="1" applyBorder="1" applyAlignment="1">
      <alignment horizontal="right" vertical="center" indent="1" readingOrder="1"/>
    </xf>
    <xf numFmtId="3" fontId="31" fillId="0" borderId="17" xfId="1" applyNumberFormat="1" applyFont="1" applyFill="1" applyBorder="1" applyAlignment="1">
      <alignment horizontal="right" vertical="center" indent="1" readingOrder="1"/>
    </xf>
    <xf numFmtId="3" fontId="31" fillId="0" borderId="20" xfId="1" applyNumberFormat="1" applyFont="1" applyFill="1" applyBorder="1" applyAlignment="1">
      <alignment horizontal="right" vertical="center" indent="1" readingOrder="1"/>
    </xf>
    <xf numFmtId="0" fontId="34" fillId="0" borderId="13" xfId="1" applyFont="1" applyFill="1" applyBorder="1" applyAlignment="1">
      <alignment horizontal="center" vertical="center" wrapText="1" readingOrder="2"/>
    </xf>
    <xf numFmtId="0" fontId="33" fillId="0" borderId="15" xfId="1" applyFont="1" applyFill="1" applyBorder="1" applyAlignment="1">
      <alignment horizontal="center" vertical="center" wrapText="1" readingOrder="1"/>
    </xf>
    <xf numFmtId="0" fontId="34" fillId="0" borderId="16" xfId="1" applyFont="1" applyFill="1" applyBorder="1" applyAlignment="1">
      <alignment horizontal="center" vertical="center" wrapText="1" readingOrder="2"/>
    </xf>
    <xf numFmtId="0" fontId="33" fillId="0" borderId="18" xfId="1" applyFont="1" applyFill="1" applyBorder="1" applyAlignment="1">
      <alignment horizontal="center" vertical="center" wrapText="1" readingOrder="1"/>
    </xf>
    <xf numFmtId="0" fontId="31" fillId="0" borderId="15" xfId="1" applyFont="1" applyFill="1" applyBorder="1" applyAlignment="1">
      <alignment horizontal="center" vertical="center" wrapText="1" readingOrder="1"/>
    </xf>
    <xf numFmtId="0" fontId="31" fillId="0" borderId="18" xfId="1" applyFont="1" applyFill="1" applyBorder="1" applyAlignment="1">
      <alignment horizontal="center" vertical="center" wrapText="1" readingOrder="1"/>
    </xf>
    <xf numFmtId="0" fontId="32" fillId="0" borderId="13" xfId="1" applyFont="1" applyFill="1" applyBorder="1" applyAlignment="1">
      <alignment horizontal="center" vertical="center" wrapText="1" readingOrder="2"/>
    </xf>
    <xf numFmtId="0" fontId="32" fillId="0" borderId="16" xfId="1" applyFont="1" applyFill="1" applyBorder="1" applyAlignment="1">
      <alignment horizontal="center" vertical="center" wrapText="1" readingOrder="2"/>
    </xf>
    <xf numFmtId="0" fontId="32" fillId="0" borderId="19" xfId="1" applyFont="1" applyFill="1" applyBorder="1" applyAlignment="1">
      <alignment horizontal="center" vertical="center" wrapText="1" readingOrder="2"/>
    </xf>
    <xf numFmtId="0" fontId="31" fillId="0" borderId="21" xfId="1" applyFont="1" applyFill="1" applyBorder="1" applyAlignment="1">
      <alignment horizontal="center" vertical="center" wrapText="1" readingOrder="1"/>
    </xf>
    <xf numFmtId="0" fontId="32" fillId="0" borderId="13" xfId="1" applyFont="1" applyFill="1" applyBorder="1" applyAlignment="1">
      <alignment horizontal="center" wrapText="1" readingOrder="2"/>
    </xf>
    <xf numFmtId="0" fontId="31" fillId="0" borderId="15" xfId="1" applyFont="1" applyFill="1" applyBorder="1" applyAlignment="1">
      <alignment horizontal="center" wrapText="1" readingOrder="1"/>
    </xf>
    <xf numFmtId="0" fontId="32" fillId="0" borderId="16" xfId="1" applyFont="1" applyFill="1" applyBorder="1" applyAlignment="1">
      <alignment horizontal="center" wrapText="1" readingOrder="2"/>
    </xf>
    <xf numFmtId="0" fontId="31" fillId="0" borderId="18" xfId="1" applyFont="1" applyFill="1" applyBorder="1" applyAlignment="1">
      <alignment horizontal="center" wrapText="1" readingOrder="1"/>
    </xf>
    <xf numFmtId="0" fontId="32" fillId="0" borderId="19" xfId="1" applyFont="1" applyFill="1" applyBorder="1" applyAlignment="1">
      <alignment horizontal="center" wrapText="1" readingOrder="2"/>
    </xf>
    <xf numFmtId="0" fontId="31" fillId="0" borderId="21" xfId="1" applyFont="1" applyFill="1" applyBorder="1" applyAlignment="1">
      <alignment horizontal="center" wrapText="1" readingOrder="1"/>
    </xf>
    <xf numFmtId="0" fontId="34" fillId="0" borderId="7" xfId="1" applyFont="1" applyFill="1" applyBorder="1" applyAlignment="1">
      <alignment horizontal="center" vertical="center" wrapText="1" readingOrder="2"/>
    </xf>
    <xf numFmtId="0" fontId="33" fillId="0" borderId="9" xfId="1" applyFont="1" applyFill="1" applyBorder="1" applyAlignment="1">
      <alignment horizontal="center" vertical="center" wrapText="1" readingOrder="1"/>
    </xf>
    <xf numFmtId="164" fontId="14" fillId="0" borderId="11" xfId="1" applyNumberFormat="1" applyFont="1" applyFill="1" applyBorder="1" applyAlignment="1">
      <alignment horizontal="right" vertical="center" indent="1" readingOrder="1"/>
    </xf>
    <xf numFmtId="0" fontId="34" fillId="0" borderId="19" xfId="1" applyFont="1" applyFill="1" applyBorder="1" applyAlignment="1">
      <alignment horizontal="center" vertical="center" wrapText="1" readingOrder="2"/>
    </xf>
    <xf numFmtId="0" fontId="33" fillId="0" borderId="21" xfId="1" applyFont="1" applyFill="1" applyBorder="1" applyAlignment="1">
      <alignment horizontal="center" vertical="center" wrapText="1" readingOrder="1"/>
    </xf>
    <xf numFmtId="0" fontId="32" fillId="0" borderId="7" xfId="1" applyFont="1" applyFill="1" applyBorder="1" applyAlignment="1">
      <alignment horizontal="center" wrapText="1" readingOrder="2"/>
    </xf>
    <xf numFmtId="0" fontId="31" fillId="0" borderId="9" xfId="1" applyFont="1" applyFill="1" applyBorder="1" applyAlignment="1">
      <alignment horizontal="center" wrapText="1" readingOrder="1"/>
    </xf>
    <xf numFmtId="0" fontId="34" fillId="0" borderId="17" xfId="1" applyFont="1" applyFill="1" applyBorder="1" applyAlignment="1">
      <alignment horizontal="center" vertical="center" wrapText="1" readingOrder="2"/>
    </xf>
    <xf numFmtId="0" fontId="34" fillId="0" borderId="14" xfId="1" applyFont="1" applyFill="1" applyBorder="1" applyAlignment="1">
      <alignment horizontal="center" vertical="center" wrapText="1" readingOrder="2"/>
    </xf>
    <xf numFmtId="0" fontId="4" fillId="3" borderId="23" xfId="1" applyFont="1" applyFill="1" applyBorder="1" applyAlignment="1">
      <alignment horizontal="center" vertical="center" wrapText="1" readingOrder="1"/>
    </xf>
    <xf numFmtId="0" fontId="15" fillId="0" borderId="7" xfId="1" applyFont="1" applyFill="1" applyBorder="1" applyAlignment="1">
      <alignment horizontal="right" vertical="center" wrapText="1" indent="1" readingOrder="2"/>
    </xf>
    <xf numFmtId="0" fontId="1" fillId="0" borderId="9" xfId="1" applyFont="1" applyFill="1" applyBorder="1" applyAlignment="1">
      <alignment horizontal="left" vertical="center" wrapText="1" indent="1" readingOrder="1"/>
    </xf>
    <xf numFmtId="0" fontId="15" fillId="6" borderId="7" xfId="1" applyFont="1" applyFill="1" applyBorder="1" applyAlignment="1">
      <alignment horizontal="center" vertical="center" wrapText="1" readingOrder="2"/>
    </xf>
    <xf numFmtId="0" fontId="14" fillId="6" borderId="9" xfId="1" applyFont="1" applyFill="1" applyBorder="1" applyAlignment="1">
      <alignment horizontal="center" vertical="center" wrapText="1" readingOrder="2"/>
    </xf>
    <xf numFmtId="164" fontId="14" fillId="0" borderId="8" xfId="1" applyNumberFormat="1" applyFont="1" applyFill="1" applyBorder="1" applyAlignment="1">
      <alignment horizontal="right" vertical="center" indent="1" readingOrder="1"/>
    </xf>
    <xf numFmtId="3" fontId="1" fillId="0" borderId="0" xfId="1" applyNumberFormat="1" applyFont="1"/>
    <xf numFmtId="3" fontId="31" fillId="0" borderId="38" xfId="1" applyNumberFormat="1" applyFont="1" applyFill="1" applyBorder="1" applyAlignment="1">
      <alignment horizontal="right" vertical="center" indent="1" readingOrder="1"/>
    </xf>
    <xf numFmtId="0" fontId="38" fillId="0" borderId="16" xfId="1" applyFont="1" applyFill="1" applyBorder="1" applyAlignment="1">
      <alignment horizontal="center" vertical="center" wrapText="1" readingOrder="2"/>
    </xf>
    <xf numFmtId="0" fontId="35" fillId="0" borderId="18" xfId="1" applyFont="1" applyFill="1" applyBorder="1" applyAlignment="1">
      <alignment horizontal="center" vertical="center" wrapText="1" readingOrder="1"/>
    </xf>
    <xf numFmtId="0" fontId="38" fillId="0" borderId="19" xfId="1" applyFont="1" applyFill="1" applyBorder="1" applyAlignment="1">
      <alignment horizontal="center" vertical="center" wrapText="1" readingOrder="2"/>
    </xf>
    <xf numFmtId="0" fontId="35" fillId="0" borderId="21" xfId="1" applyFont="1" applyFill="1" applyBorder="1" applyAlignment="1">
      <alignment horizontal="center" vertical="center" wrapText="1" readingOrder="1"/>
    </xf>
    <xf numFmtId="3" fontId="14" fillId="6" borderId="8" xfId="1" applyNumberFormat="1" applyFont="1" applyFill="1" applyBorder="1" applyAlignment="1">
      <alignment horizontal="right" vertical="center" indent="1" readingOrder="1"/>
    </xf>
    <xf numFmtId="3" fontId="14" fillId="6" borderId="17" xfId="1" applyNumberFormat="1" applyFont="1" applyFill="1" applyBorder="1" applyAlignment="1">
      <alignment horizontal="right" vertical="center" indent="1" readingOrder="1"/>
    </xf>
    <xf numFmtId="3" fontId="14" fillId="6" borderId="11" xfId="1" applyNumberFormat="1" applyFont="1" applyFill="1" applyBorder="1" applyAlignment="1">
      <alignment horizontal="right" vertical="center" indent="1" readingOrder="1"/>
    </xf>
    <xf numFmtId="0" fontId="1" fillId="0" borderId="0" xfId="1" applyFont="1" applyAlignment="1">
      <alignment wrapText="1"/>
    </xf>
    <xf numFmtId="0" fontId="1" fillId="0" borderId="0" xfId="1" applyFont="1" applyAlignment="1">
      <alignment horizontal="center"/>
    </xf>
    <xf numFmtId="3" fontId="31" fillId="6" borderId="8" xfId="1" applyNumberFormat="1" applyFont="1" applyFill="1" applyBorder="1" applyAlignment="1">
      <alignment horizontal="right" vertical="center" indent="1" readingOrder="1"/>
    </xf>
    <xf numFmtId="3" fontId="31" fillId="6" borderId="17" xfId="1" applyNumberFormat="1" applyFont="1" applyFill="1" applyBorder="1" applyAlignment="1">
      <alignment horizontal="right" vertical="center" indent="1" readingOrder="1"/>
    </xf>
    <xf numFmtId="3" fontId="31" fillId="3" borderId="17" xfId="1" applyNumberFormat="1" applyFont="1" applyFill="1" applyBorder="1" applyAlignment="1">
      <alignment horizontal="right" vertical="center" indent="1" readingOrder="1"/>
    </xf>
    <xf numFmtId="3" fontId="31" fillId="3" borderId="20" xfId="1" applyNumberFormat="1" applyFont="1" applyFill="1" applyBorder="1" applyAlignment="1">
      <alignment horizontal="right" vertical="center" indent="1" readingOrder="1"/>
    </xf>
    <xf numFmtId="164" fontId="27" fillId="6" borderId="8" xfId="1" applyNumberFormat="1" applyFont="1" applyFill="1" applyBorder="1" applyAlignment="1">
      <alignment horizontal="center" vertical="center" readingOrder="1"/>
    </xf>
    <xf numFmtId="164" fontId="27" fillId="6" borderId="17" xfId="1" applyNumberFormat="1" applyFont="1" applyFill="1" applyBorder="1" applyAlignment="1">
      <alignment horizontal="center" vertical="center" readingOrder="1"/>
    </xf>
    <xf numFmtId="164" fontId="27" fillId="3" borderId="17" xfId="1" applyNumberFormat="1" applyFont="1" applyFill="1" applyBorder="1" applyAlignment="1">
      <alignment horizontal="center" vertical="center" readingOrder="1"/>
    </xf>
    <xf numFmtId="164" fontId="27" fillId="3" borderId="20" xfId="1" applyNumberFormat="1" applyFont="1" applyFill="1" applyBorder="1" applyAlignment="1">
      <alignment horizontal="center" vertical="center" readingOrder="1"/>
    </xf>
    <xf numFmtId="164" fontId="27" fillId="6" borderId="11" xfId="1" applyNumberFormat="1" applyFont="1" applyFill="1" applyBorder="1" applyAlignment="1">
      <alignment horizontal="center" vertical="center" readingOrder="1"/>
    </xf>
    <xf numFmtId="0" fontId="1" fillId="6" borderId="8" xfId="1" applyFont="1" applyFill="1" applyBorder="1" applyAlignment="1">
      <alignment horizontal="center" vertical="center" wrapText="1" readingOrder="2"/>
    </xf>
    <xf numFmtId="0" fontId="1" fillId="6" borderId="17" xfId="1" applyFont="1" applyFill="1" applyBorder="1" applyAlignment="1">
      <alignment horizontal="center" vertical="center" wrapText="1" readingOrder="2"/>
    </xf>
    <xf numFmtId="0" fontId="1" fillId="3" borderId="17" xfId="1" applyFont="1" applyFill="1" applyBorder="1" applyAlignment="1">
      <alignment horizontal="center" vertical="center" wrapText="1" readingOrder="2"/>
    </xf>
    <xf numFmtId="0" fontId="1" fillId="3" borderId="20" xfId="1" applyFont="1" applyFill="1" applyBorder="1" applyAlignment="1">
      <alignment horizontal="center" vertical="center" wrapText="1" readingOrder="2"/>
    </xf>
    <xf numFmtId="0" fontId="1" fillId="6" borderId="11" xfId="1" applyFont="1" applyFill="1" applyBorder="1" applyAlignment="1">
      <alignment horizontal="center" vertical="center" wrapText="1" readingOrder="2"/>
    </xf>
    <xf numFmtId="3" fontId="31" fillId="6" borderId="18" xfId="1" applyNumberFormat="1" applyFont="1" applyFill="1" applyBorder="1" applyAlignment="1">
      <alignment horizontal="right" vertical="center" indent="1" readingOrder="1"/>
    </xf>
    <xf numFmtId="3" fontId="31" fillId="3" borderId="18" xfId="1" applyNumberFormat="1" applyFont="1" applyFill="1" applyBorder="1" applyAlignment="1">
      <alignment horizontal="right" vertical="center" indent="1" readingOrder="1"/>
    </xf>
    <xf numFmtId="3" fontId="31" fillId="3" borderId="21" xfId="1" applyNumberFormat="1" applyFont="1" applyFill="1" applyBorder="1" applyAlignment="1">
      <alignment horizontal="right" vertical="center" indent="1" readingOrder="1"/>
    </xf>
    <xf numFmtId="3" fontId="31" fillId="6" borderId="16" xfId="1" applyNumberFormat="1" applyFont="1" applyFill="1" applyBorder="1" applyAlignment="1">
      <alignment horizontal="right" vertical="center" indent="1" readingOrder="1"/>
    </xf>
    <xf numFmtId="3" fontId="31" fillId="3" borderId="16" xfId="1" applyNumberFormat="1" applyFont="1" applyFill="1" applyBorder="1" applyAlignment="1">
      <alignment horizontal="right" vertical="center" indent="1" readingOrder="1"/>
    </xf>
    <xf numFmtId="3" fontId="31" fillId="3" borderId="19" xfId="1" applyNumberFormat="1" applyFont="1" applyFill="1" applyBorder="1" applyAlignment="1">
      <alignment horizontal="right" vertical="center" indent="1" readingOrder="1"/>
    </xf>
    <xf numFmtId="3" fontId="31" fillId="6" borderId="15" xfId="1" applyNumberFormat="1" applyFont="1" applyFill="1" applyBorder="1" applyAlignment="1">
      <alignment horizontal="right" vertical="center" indent="1" readingOrder="1"/>
    </xf>
    <xf numFmtId="3" fontId="31" fillId="6" borderId="14" xfId="1" applyNumberFormat="1" applyFont="1" applyFill="1" applyBorder="1" applyAlignment="1">
      <alignment horizontal="right" vertical="center" indent="1" readingOrder="1"/>
    </xf>
    <xf numFmtId="3" fontId="31" fillId="6" borderId="13" xfId="1" applyNumberFormat="1" applyFont="1" applyFill="1" applyBorder="1" applyAlignment="1">
      <alignment horizontal="right" vertical="center" indent="1" readingOrder="1"/>
    </xf>
    <xf numFmtId="3" fontId="14" fillId="6" borderId="14" xfId="1" applyNumberFormat="1" applyFont="1" applyFill="1" applyBorder="1" applyAlignment="1">
      <alignment horizontal="right" vertical="center" indent="1" readingOrder="1"/>
    </xf>
    <xf numFmtId="0" fontId="4" fillId="3" borderId="10" xfId="17" applyFont="1" applyFill="1" applyBorder="1" applyAlignment="1">
      <alignment horizontal="right" vertical="center" wrapText="1" indent="1" readingOrder="2"/>
    </xf>
    <xf numFmtId="0" fontId="1" fillId="3" borderId="12" xfId="17" applyFont="1" applyFill="1" applyBorder="1" applyAlignment="1">
      <alignment horizontal="left" vertical="center" wrapText="1" indent="1" readingOrder="1"/>
    </xf>
    <xf numFmtId="3" fontId="1" fillId="0" borderId="14" xfId="18" applyNumberFormat="1" applyFont="1" applyFill="1" applyBorder="1" applyAlignment="1">
      <alignment horizontal="right" vertical="center" indent="1"/>
    </xf>
    <xf numFmtId="3" fontId="1" fillId="0" borderId="38" xfId="18" applyNumberFormat="1" applyFont="1" applyFill="1" applyBorder="1" applyAlignment="1">
      <alignment horizontal="right" vertical="center" indent="1"/>
    </xf>
    <xf numFmtId="3" fontId="1" fillId="0" borderId="11" xfId="18" applyNumberFormat="1" applyFont="1" applyFill="1" applyBorder="1">
      <alignment horizontal="right" vertical="center" indent="1"/>
    </xf>
    <xf numFmtId="3" fontId="1" fillId="0" borderId="13" xfId="18" applyNumberFormat="1" applyFont="1" applyFill="1" applyBorder="1" applyAlignment="1">
      <alignment horizontal="right" vertical="center" indent="1"/>
    </xf>
    <xf numFmtId="3" fontId="1" fillId="0" borderId="39" xfId="18" applyNumberFormat="1" applyFont="1" applyFill="1" applyBorder="1" applyAlignment="1">
      <alignment horizontal="right" vertical="center" indent="1"/>
    </xf>
    <xf numFmtId="3" fontId="1" fillId="0" borderId="13" xfId="18" applyNumberFormat="1" applyFont="1" applyFill="1" applyBorder="1">
      <alignment horizontal="right" vertical="center" indent="1"/>
    </xf>
    <xf numFmtId="3" fontId="1" fillId="0" borderId="15" xfId="18" applyNumberFormat="1" applyFont="1" applyFill="1" applyBorder="1">
      <alignment horizontal="right" vertical="center" indent="1"/>
    </xf>
    <xf numFmtId="3" fontId="1" fillId="0" borderId="39" xfId="18" applyNumberFormat="1" applyFont="1" applyFill="1" applyBorder="1">
      <alignment horizontal="right" vertical="center" indent="1"/>
    </xf>
    <xf numFmtId="3" fontId="1" fillId="0" borderId="38" xfId="18" applyNumberFormat="1" applyFont="1" applyFill="1" applyBorder="1">
      <alignment horizontal="right" vertical="center" indent="1"/>
    </xf>
    <xf numFmtId="3" fontId="1" fillId="0" borderId="37" xfId="18" applyNumberFormat="1" applyFont="1" applyFill="1" applyBorder="1">
      <alignment horizontal="right" vertical="center" indent="1"/>
    </xf>
    <xf numFmtId="164" fontId="14" fillId="0" borderId="28" xfId="17" applyNumberFormat="1" applyFont="1" applyFill="1" applyBorder="1" applyAlignment="1">
      <alignment horizontal="left" vertical="center" wrapText="1" indent="1"/>
    </xf>
    <xf numFmtId="164" fontId="14" fillId="3" borderId="11" xfId="18" applyNumberFormat="1" applyFont="1" applyFill="1" applyBorder="1">
      <alignment horizontal="right" vertical="center" indent="1"/>
    </xf>
    <xf numFmtId="3" fontId="1" fillId="0" borderId="16" xfId="18" applyNumberFormat="1" applyFont="1" applyFill="1" applyBorder="1">
      <alignment horizontal="right" vertical="center" indent="1"/>
    </xf>
    <xf numFmtId="3" fontId="1" fillId="0" borderId="18" xfId="18" applyNumberFormat="1" applyFont="1" applyFill="1" applyBorder="1">
      <alignment horizontal="right" vertical="center" indent="1"/>
    </xf>
    <xf numFmtId="3" fontId="1" fillId="0" borderId="19" xfId="18" applyNumberFormat="1" applyFont="1" applyFill="1" applyBorder="1">
      <alignment horizontal="right" vertical="center" indent="1"/>
    </xf>
    <xf numFmtId="3" fontId="1" fillId="0" borderId="20" xfId="18" applyNumberFormat="1" applyFont="1" applyFill="1" applyBorder="1">
      <alignment horizontal="right" vertical="center" indent="1"/>
    </xf>
    <xf numFmtId="3" fontId="1" fillId="0" borderId="21" xfId="18" applyNumberFormat="1" applyFont="1" applyFill="1" applyBorder="1">
      <alignment horizontal="right" vertical="center" indent="1"/>
    </xf>
    <xf numFmtId="0" fontId="4" fillId="0" borderId="10" xfId="17" applyFont="1" applyFill="1" applyBorder="1" applyAlignment="1">
      <alignment horizontal="center" vertical="center" wrapText="1" readingOrder="2"/>
    </xf>
    <xf numFmtId="164" fontId="14" fillId="0" borderId="11" xfId="18" applyNumberFormat="1" applyFont="1" applyFill="1" applyBorder="1">
      <alignment horizontal="right" vertical="center" indent="1"/>
    </xf>
    <xf numFmtId="3" fontId="14" fillId="3" borderId="23" xfId="17" applyNumberFormat="1" applyFont="1" applyFill="1" applyBorder="1" applyAlignment="1">
      <alignment horizontal="left" vertical="center" wrapText="1" indent="1"/>
    </xf>
    <xf numFmtId="0" fontId="4" fillId="0" borderId="46" xfId="17" applyFont="1" applyFill="1" applyBorder="1" applyAlignment="1">
      <alignment horizontal="center" vertical="center" wrapText="1" readingOrder="2"/>
    </xf>
    <xf numFmtId="0" fontId="4" fillId="3" borderId="47" xfId="17" applyFont="1" applyFill="1" applyBorder="1" applyAlignment="1">
      <alignment horizontal="center" vertical="center" wrapText="1" readingOrder="2"/>
    </xf>
    <xf numFmtId="0" fontId="4" fillId="0" borderId="47" xfId="17" applyFont="1" applyFill="1" applyBorder="1" applyAlignment="1">
      <alignment horizontal="center" vertical="center" wrapText="1" readingOrder="2"/>
    </xf>
    <xf numFmtId="164" fontId="14" fillId="3" borderId="16" xfId="18" applyNumberFormat="1" applyFont="1" applyFill="1" applyBorder="1">
      <alignment horizontal="right" vertical="center" indent="1"/>
    </xf>
    <xf numFmtId="164" fontId="14" fillId="0" borderId="16" xfId="18" applyNumberFormat="1" applyFont="1" applyFill="1" applyBorder="1">
      <alignment horizontal="right" vertical="center" indent="1"/>
    </xf>
    <xf numFmtId="0" fontId="4" fillId="3" borderId="43" xfId="17" applyFont="1" applyFill="1" applyBorder="1" applyAlignment="1">
      <alignment horizontal="center" vertical="center" wrapText="1" readingOrder="2"/>
    </xf>
    <xf numFmtId="164" fontId="14" fillId="3" borderId="19" xfId="18" applyNumberFormat="1" applyFont="1" applyFill="1" applyBorder="1">
      <alignment horizontal="right" vertical="center" indent="1"/>
    </xf>
    <xf numFmtId="3" fontId="14" fillId="0" borderId="8" xfId="17" applyNumberFormat="1" applyFont="1" applyFill="1" applyBorder="1" applyAlignment="1">
      <alignment horizontal="left" vertical="center" wrapText="1" indent="1"/>
    </xf>
    <xf numFmtId="164" fontId="14" fillId="0" borderId="8" xfId="17" applyNumberFormat="1" applyFont="1" applyFill="1" applyBorder="1" applyAlignment="1">
      <alignment horizontal="left" vertical="center" wrapText="1" indent="1"/>
    </xf>
    <xf numFmtId="3" fontId="14" fillId="0" borderId="14" xfId="17" applyNumberFormat="1" applyFont="1" applyFill="1" applyBorder="1" applyAlignment="1">
      <alignment horizontal="left" vertical="center" wrapText="1" indent="1"/>
    </xf>
    <xf numFmtId="0" fontId="37" fillId="0" borderId="19" xfId="17" applyFont="1" applyFill="1" applyBorder="1" applyAlignment="1">
      <alignment horizontal="center" vertical="center" wrapText="1" readingOrder="2"/>
    </xf>
    <xf numFmtId="3" fontId="14" fillId="6" borderId="38" xfId="17" applyNumberFormat="1" applyFont="1" applyFill="1" applyBorder="1" applyAlignment="1">
      <alignment horizontal="left" vertical="center" wrapText="1" indent="1" readingOrder="1"/>
    </xf>
    <xf numFmtId="164" fontId="14" fillId="6" borderId="27" xfId="17" applyNumberFormat="1" applyFont="1" applyFill="1" applyBorder="1" applyAlignment="1">
      <alignment horizontal="left" vertical="center" wrapText="1" indent="1" readingOrder="1"/>
    </xf>
    <xf numFmtId="164" fontId="14" fillId="3" borderId="18" xfId="1" applyNumberFormat="1" applyFont="1" applyFill="1" applyBorder="1" applyAlignment="1">
      <alignment horizontal="right" vertical="center" indent="1" readingOrder="1"/>
    </xf>
    <xf numFmtId="164" fontId="14" fillId="0" borderId="18" xfId="1" applyNumberFormat="1" applyFont="1" applyFill="1" applyBorder="1" applyAlignment="1">
      <alignment horizontal="right" vertical="center" indent="1" readingOrder="1"/>
    </xf>
    <xf numFmtId="164" fontId="14" fillId="3" borderId="12" xfId="1" applyNumberFormat="1" applyFont="1" applyFill="1" applyBorder="1" applyAlignment="1">
      <alignment horizontal="right" vertical="center" indent="1" readingOrder="1"/>
    </xf>
    <xf numFmtId="0" fontId="4" fillId="6" borderId="45" xfId="1" applyFont="1" applyFill="1" applyBorder="1" applyAlignment="1">
      <alignment horizontal="center" vertical="center" readingOrder="2"/>
    </xf>
    <xf numFmtId="0" fontId="14" fillId="6" borderId="44" xfId="1" applyFont="1" applyFill="1" applyBorder="1" applyAlignment="1">
      <alignment horizontal="center" vertical="center" readingOrder="1"/>
    </xf>
    <xf numFmtId="0" fontId="4" fillId="6" borderId="39" xfId="1" applyFont="1" applyFill="1" applyBorder="1" applyAlignment="1">
      <alignment horizontal="center" vertical="center" readingOrder="2"/>
    </xf>
    <xf numFmtId="164" fontId="14" fillId="6" borderId="38" xfId="17" applyNumberFormat="1" applyFont="1" applyFill="1" applyBorder="1" applyAlignment="1">
      <alignment horizontal="left" vertical="center" wrapText="1" indent="1" readingOrder="1"/>
    </xf>
    <xf numFmtId="164" fontId="14" fillId="0" borderId="13" xfId="1" applyNumberFormat="1" applyFont="1" applyFill="1" applyBorder="1" applyAlignment="1">
      <alignment horizontal="right" vertical="center" indent="1" readingOrder="1"/>
    </xf>
    <xf numFmtId="164" fontId="14" fillId="3" borderId="16" xfId="1" applyNumberFormat="1" applyFont="1" applyFill="1" applyBorder="1" applyAlignment="1">
      <alignment horizontal="right" vertical="center" indent="1" readingOrder="1"/>
    </xf>
    <xf numFmtId="164" fontId="14" fillId="0" borderId="40" xfId="1" applyNumberFormat="1" applyFont="1" applyFill="1" applyBorder="1" applyAlignment="1">
      <alignment horizontal="right" vertical="center" indent="1" readingOrder="1"/>
    </xf>
    <xf numFmtId="0" fontId="1" fillId="0" borderId="15" xfId="1" applyFont="1" applyFill="1" applyBorder="1" applyAlignment="1">
      <alignment horizontal="right" vertical="center" indent="1" readingOrder="1"/>
    </xf>
    <xf numFmtId="0" fontId="1" fillId="0" borderId="0" xfId="1" applyAlignment="1">
      <alignment horizontal="left"/>
    </xf>
    <xf numFmtId="0" fontId="4" fillId="6" borderId="7" xfId="1" applyFont="1" applyFill="1" applyBorder="1" applyAlignment="1">
      <alignment horizontal="center" vertical="center" readingOrder="2"/>
    </xf>
    <xf numFmtId="1" fontId="14" fillId="6" borderId="8" xfId="1" applyNumberFormat="1" applyFont="1" applyFill="1" applyBorder="1" applyAlignment="1">
      <alignment horizontal="right" vertical="center" indent="1" readingOrder="1"/>
    </xf>
    <xf numFmtId="0" fontId="14" fillId="6" borderId="9" xfId="1" applyFont="1" applyFill="1" applyBorder="1" applyAlignment="1">
      <alignment horizontal="center" vertical="center" readingOrder="1"/>
    </xf>
    <xf numFmtId="164" fontId="14" fillId="6" borderId="17" xfId="1" applyNumberFormat="1" applyFont="1" applyFill="1" applyBorder="1" applyAlignment="1">
      <alignment horizontal="right" vertical="center" indent="1" readingOrder="1"/>
    </xf>
    <xf numFmtId="0" fontId="31" fillId="3" borderId="17" xfId="1" applyFont="1" applyFill="1" applyBorder="1" applyAlignment="1">
      <alignment horizontal="left" vertical="center" wrapText="1" indent="1" readingOrder="1"/>
    </xf>
    <xf numFmtId="0" fontId="31" fillId="6" borderId="17" xfId="1" applyFont="1" applyFill="1" applyBorder="1" applyAlignment="1">
      <alignment horizontal="left" vertical="center" wrapText="1" indent="1" readingOrder="1"/>
    </xf>
    <xf numFmtId="0" fontId="31" fillId="3" borderId="20" xfId="1" applyFont="1" applyFill="1" applyBorder="1" applyAlignment="1">
      <alignment horizontal="left" vertical="center" wrapText="1" indent="1" readingOrder="1"/>
    </xf>
    <xf numFmtId="1" fontId="1" fillId="0" borderId="0" xfId="1" applyNumberFormat="1"/>
    <xf numFmtId="0" fontId="14" fillId="6" borderId="8" xfId="1" applyFont="1" applyFill="1" applyBorder="1" applyAlignment="1">
      <alignment horizontal="right" vertical="center" indent="1" readingOrder="1"/>
    </xf>
    <xf numFmtId="0" fontId="14" fillId="6" borderId="14" xfId="1" applyFont="1" applyFill="1" applyBorder="1" applyAlignment="1">
      <alignment horizontal="right" vertical="center" indent="1" readingOrder="1"/>
    </xf>
    <xf numFmtId="0" fontId="1" fillId="6" borderId="14" xfId="1" applyFont="1" applyFill="1" applyBorder="1" applyAlignment="1">
      <alignment horizontal="left" vertical="center" wrapText="1" indent="1" readingOrder="1"/>
    </xf>
    <xf numFmtId="0" fontId="1" fillId="3" borderId="17" xfId="1" applyFont="1" applyFill="1" applyBorder="1" applyAlignment="1">
      <alignment horizontal="left" vertical="center" wrapText="1" indent="1" readingOrder="1"/>
    </xf>
    <xf numFmtId="0" fontId="1" fillId="6" borderId="17" xfId="1" applyFont="1" applyFill="1" applyBorder="1" applyAlignment="1">
      <alignment horizontal="left" vertical="center" wrapText="1" indent="1" readingOrder="1"/>
    </xf>
    <xf numFmtId="0" fontId="1" fillId="3" borderId="20" xfId="1" applyFont="1" applyFill="1" applyBorder="1" applyAlignment="1">
      <alignment horizontal="left" vertical="center" wrapText="1" indent="1" readingOrder="1"/>
    </xf>
    <xf numFmtId="0" fontId="1" fillId="0" borderId="37" xfId="1" applyFont="1" applyFill="1" applyBorder="1" applyAlignment="1">
      <alignment horizontal="right" vertical="center" indent="1" readingOrder="1"/>
    </xf>
    <xf numFmtId="0" fontId="1" fillId="0" borderId="38" xfId="1" applyFont="1" applyFill="1" applyBorder="1" applyAlignment="1">
      <alignment horizontal="right" vertical="center" indent="1" readingOrder="1"/>
    </xf>
    <xf numFmtId="0" fontId="4" fillId="3" borderId="45" xfId="1" applyFont="1" applyFill="1" applyBorder="1" applyAlignment="1">
      <alignment horizontal="center" vertical="center" readingOrder="2"/>
    </xf>
    <xf numFmtId="0" fontId="14" fillId="3" borderId="38" xfId="1" applyFont="1" applyFill="1" applyBorder="1" applyAlignment="1">
      <alignment horizontal="right" vertical="center" indent="1" readingOrder="1"/>
    </xf>
    <xf numFmtId="164" fontId="14" fillId="3" borderId="27" xfId="1" applyNumberFormat="1" applyFont="1" applyFill="1" applyBorder="1" applyAlignment="1">
      <alignment horizontal="right" vertical="center" indent="1" readingOrder="1"/>
    </xf>
    <xf numFmtId="0" fontId="14" fillId="3" borderId="44" xfId="1" applyFont="1" applyFill="1" applyBorder="1" applyAlignment="1">
      <alignment horizontal="center" vertical="center" readingOrder="1"/>
    </xf>
    <xf numFmtId="0" fontId="1" fillId="0" borderId="42" xfId="1" applyFont="1" applyFill="1" applyBorder="1" applyAlignment="1">
      <alignment horizontal="right" vertical="center" indent="1" readingOrder="1"/>
    </xf>
    <xf numFmtId="0" fontId="1" fillId="0" borderId="0" xfId="1" applyFont="1" applyFill="1" applyBorder="1" applyAlignment="1">
      <alignment horizontal="right" vertical="center" indent="1" readingOrder="1"/>
    </xf>
    <xf numFmtId="0" fontId="14" fillId="0" borderId="42" xfId="1" applyFont="1" applyFill="1" applyBorder="1" applyAlignment="1">
      <alignment horizontal="right" vertical="center" indent="1" readingOrder="1"/>
    </xf>
    <xf numFmtId="0" fontId="1" fillId="0" borderId="26" xfId="1" applyFont="1" applyFill="1" applyBorder="1" applyAlignment="1">
      <alignment horizontal="right" vertical="center" indent="1" readingOrder="1"/>
    </xf>
    <xf numFmtId="0" fontId="1" fillId="0" borderId="28" xfId="1" applyFont="1" applyFill="1" applyBorder="1" applyAlignment="1">
      <alignment horizontal="right" vertical="center" indent="1" readingOrder="1"/>
    </xf>
    <xf numFmtId="164" fontId="14" fillId="0" borderId="16" xfId="1" applyNumberFormat="1" applyFont="1" applyFill="1" applyBorder="1" applyAlignment="1">
      <alignment horizontal="right" vertical="center" indent="1" readingOrder="1"/>
    </xf>
    <xf numFmtId="164" fontId="14" fillId="0" borderId="10" xfId="1" applyNumberFormat="1" applyFont="1" applyFill="1" applyBorder="1" applyAlignment="1">
      <alignment horizontal="right" vertical="center" indent="1" readingOrder="1"/>
    </xf>
    <xf numFmtId="3" fontId="14" fillId="6" borderId="15" xfId="1" applyNumberFormat="1" applyFont="1" applyFill="1" applyBorder="1" applyAlignment="1">
      <alignment horizontal="right" vertical="center" indent="1" readingOrder="1"/>
    </xf>
    <xf numFmtId="49" fontId="4" fillId="6" borderId="40" xfId="1" applyNumberFormat="1" applyFont="1" applyFill="1" applyBorder="1" applyAlignment="1">
      <alignment horizontal="center" vertical="center" readingOrder="2"/>
    </xf>
    <xf numFmtId="3" fontId="14" fillId="6" borderId="28" xfId="1" applyNumberFormat="1" applyFont="1" applyFill="1" applyBorder="1" applyAlignment="1">
      <alignment horizontal="right" vertical="center" indent="1" readingOrder="1"/>
    </xf>
    <xf numFmtId="3" fontId="39" fillId="0" borderId="14" xfId="1" applyNumberFormat="1" applyFont="1" applyFill="1" applyBorder="1" applyAlignment="1">
      <alignment horizontal="right" vertical="center" indent="1" readingOrder="1"/>
    </xf>
    <xf numFmtId="0" fontId="14" fillId="0" borderId="24" xfId="1" applyFont="1" applyFill="1" applyBorder="1" applyAlignment="1">
      <alignment horizontal="left" vertical="center" wrapText="1" indent="1" readingOrder="1"/>
    </xf>
    <xf numFmtId="3" fontId="39" fillId="0" borderId="14" xfId="1" applyNumberFormat="1" applyFont="1" applyFill="1" applyBorder="1" applyAlignment="1">
      <alignment horizontal="right" indent="1"/>
    </xf>
    <xf numFmtId="3" fontId="40" fillId="0" borderId="14" xfId="1" applyNumberFormat="1" applyFont="1" applyFill="1" applyBorder="1" applyAlignment="1">
      <alignment horizontal="right" vertical="center" indent="1" readingOrder="1"/>
    </xf>
    <xf numFmtId="0" fontId="1" fillId="6" borderId="14" xfId="1" applyFont="1" applyFill="1" applyBorder="1" applyAlignment="1">
      <alignment horizontal="center" vertical="center" wrapText="1" readingOrder="2"/>
    </xf>
    <xf numFmtId="164" fontId="27" fillId="6" borderId="14" xfId="1" applyNumberFormat="1" applyFont="1" applyFill="1" applyBorder="1" applyAlignment="1">
      <alignment horizontal="center" vertical="center" readingOrder="1"/>
    </xf>
    <xf numFmtId="164" fontId="14" fillId="3" borderId="8" xfId="1" applyNumberFormat="1" applyFont="1" applyFill="1" applyBorder="1" applyAlignment="1">
      <alignment horizontal="right" vertical="center" indent="1" readingOrder="1"/>
    </xf>
    <xf numFmtId="0" fontId="1" fillId="0" borderId="0" xfId="1" applyFill="1"/>
    <xf numFmtId="3" fontId="14" fillId="0" borderId="15" xfId="1" applyNumberFormat="1" applyFont="1" applyFill="1" applyBorder="1" applyAlignment="1">
      <alignment horizontal="right" vertical="center" indent="1" readingOrder="1"/>
    </xf>
    <xf numFmtId="0" fontId="1" fillId="6" borderId="9" xfId="1" applyFont="1" applyFill="1" applyBorder="1" applyAlignment="1">
      <alignment horizontal="center" vertical="center" wrapText="1" readingOrder="2"/>
    </xf>
    <xf numFmtId="0" fontId="1" fillId="6" borderId="18" xfId="1" applyFont="1" applyFill="1" applyBorder="1" applyAlignment="1">
      <alignment horizontal="center" vertical="center" wrapText="1" readingOrder="2"/>
    </xf>
    <xf numFmtId="0" fontId="1" fillId="3" borderId="18" xfId="1" applyFont="1" applyFill="1" applyBorder="1" applyAlignment="1">
      <alignment horizontal="center" vertical="center" wrapText="1" readingOrder="2"/>
    </xf>
    <xf numFmtId="49" fontId="4" fillId="6" borderId="22" xfId="1" applyNumberFormat="1" applyFont="1" applyFill="1" applyBorder="1" applyAlignment="1">
      <alignment horizontal="center" vertical="center" readingOrder="2"/>
    </xf>
    <xf numFmtId="3" fontId="14" fillId="6" borderId="23" xfId="1" applyNumberFormat="1" applyFont="1" applyFill="1" applyBorder="1" applyAlignment="1">
      <alignment horizontal="right" vertical="center" indent="1" readingOrder="1"/>
    </xf>
    <xf numFmtId="49" fontId="4" fillId="6" borderId="24" xfId="1" applyNumberFormat="1" applyFont="1" applyFill="1" applyBorder="1" applyAlignment="1">
      <alignment horizontal="center" vertical="center" readingOrder="1"/>
    </xf>
    <xf numFmtId="3" fontId="31" fillId="0" borderId="17" xfId="1" applyNumberFormat="1" applyFont="1" applyBorder="1" applyAlignment="1">
      <alignment horizontal="right" vertical="center" indent="1" readingOrder="1"/>
    </xf>
    <xf numFmtId="0" fontId="14" fillId="0" borderId="0" xfId="1" applyFont="1" applyAlignment="1">
      <alignment readingOrder="1"/>
    </xf>
    <xf numFmtId="3" fontId="1" fillId="0" borderId="0" xfId="1" applyNumberFormat="1" applyFont="1" applyBorder="1"/>
    <xf numFmtId="0" fontId="1" fillId="0" borderId="33" xfId="1" applyFont="1" applyBorder="1"/>
    <xf numFmtId="0" fontId="1" fillId="0" borderId="0" xfId="1" applyFont="1" applyBorder="1"/>
    <xf numFmtId="0" fontId="1" fillId="0" borderId="32" xfId="1" applyFont="1" applyBorder="1"/>
    <xf numFmtId="0" fontId="7" fillId="3" borderId="23" xfId="1" applyFont="1" applyFill="1" applyBorder="1" applyAlignment="1">
      <alignment horizontal="center" vertical="center" wrapText="1"/>
    </xf>
    <xf numFmtId="0" fontId="14" fillId="3" borderId="23" xfId="1" applyFont="1" applyFill="1" applyBorder="1" applyAlignment="1">
      <alignment horizontal="center" vertical="center" wrapText="1" readingOrder="1"/>
    </xf>
    <xf numFmtId="0" fontId="4" fillId="3" borderId="27" xfId="1" applyFont="1" applyFill="1" applyBorder="1" applyAlignment="1">
      <alignment horizontal="center" vertical="center" wrapText="1" readingOrder="2"/>
    </xf>
    <xf numFmtId="0" fontId="4" fillId="3" borderId="38" xfId="1" applyFont="1" applyFill="1" applyBorder="1" applyAlignment="1">
      <alignment horizontal="center" vertical="center" wrapText="1" readingOrder="2"/>
    </xf>
    <xf numFmtId="3" fontId="31" fillId="0" borderId="8" xfId="18" applyNumberFormat="1" applyFont="1" applyFill="1" applyBorder="1" applyAlignment="1">
      <alignment horizontal="right" vertical="center" indent="1"/>
    </xf>
    <xf numFmtId="3" fontId="39" fillId="0" borderId="8" xfId="16" applyNumberFormat="1" applyFont="1" applyFill="1" applyBorder="1" applyAlignment="1">
      <alignment horizontal="right" vertical="center" indent="1"/>
    </xf>
    <xf numFmtId="0" fontId="15" fillId="3" borderId="23" xfId="1" applyFont="1" applyFill="1" applyBorder="1" applyAlignment="1">
      <alignment horizontal="center" vertical="center" wrapText="1" readingOrder="1"/>
    </xf>
    <xf numFmtId="0" fontId="4" fillId="3" borderId="23" xfId="1" applyFont="1" applyFill="1" applyBorder="1" applyAlignment="1">
      <alignment horizontal="center" vertical="center" wrapText="1" readingOrder="2"/>
    </xf>
    <xf numFmtId="0" fontId="14" fillId="3" borderId="27" xfId="1" applyFont="1" applyFill="1" applyBorder="1" applyAlignment="1">
      <alignment horizontal="center" vertical="center" wrapText="1" readingOrder="1"/>
    </xf>
    <xf numFmtId="0" fontId="15" fillId="3" borderId="27" xfId="1" applyFont="1" applyFill="1" applyBorder="1" applyAlignment="1">
      <alignment horizontal="center" vertical="center" wrapText="1" readingOrder="2"/>
    </xf>
    <xf numFmtId="0" fontId="15" fillId="3" borderId="23" xfId="1" applyFont="1" applyFill="1" applyBorder="1" applyAlignment="1">
      <alignment horizontal="center" vertical="center" wrapText="1" readingOrder="2"/>
    </xf>
    <xf numFmtId="0" fontId="14" fillId="3" borderId="27" xfId="1" applyFont="1" applyFill="1" applyBorder="1" applyAlignment="1">
      <alignment horizontal="center" wrapText="1" readingOrder="2"/>
    </xf>
    <xf numFmtId="0" fontId="14" fillId="3" borderId="27" xfId="1" applyFont="1" applyFill="1" applyBorder="1" applyAlignment="1">
      <alignment horizontal="center" wrapText="1" readingOrder="1"/>
    </xf>
    <xf numFmtId="49" fontId="14" fillId="3" borderId="27" xfId="1" applyNumberFormat="1" applyFont="1" applyFill="1" applyBorder="1" applyAlignment="1">
      <alignment horizontal="center" wrapText="1" readingOrder="1"/>
    </xf>
    <xf numFmtId="0" fontId="15" fillId="3" borderId="23" xfId="1" applyFont="1" applyFill="1" applyBorder="1" applyAlignment="1">
      <alignment horizontal="center" vertical="center" wrapText="1"/>
    </xf>
    <xf numFmtId="0" fontId="15" fillId="3" borderId="38" xfId="1" applyFont="1" applyFill="1" applyBorder="1" applyAlignment="1">
      <alignment horizontal="center" vertical="center" wrapText="1" readingOrder="1"/>
    </xf>
    <xf numFmtId="3" fontId="1" fillId="0" borderId="8" xfId="1" applyNumberFormat="1" applyFont="1" applyFill="1" applyBorder="1" applyAlignment="1">
      <alignment horizontal="right" vertical="center" indent="1"/>
    </xf>
    <xf numFmtId="3" fontId="1" fillId="0" borderId="17" xfId="1" applyNumberFormat="1" applyFont="1" applyFill="1" applyBorder="1" applyAlignment="1">
      <alignment horizontal="right" vertical="center" indent="1"/>
    </xf>
    <xf numFmtId="3" fontId="1" fillId="0" borderId="20" xfId="1" applyNumberFormat="1" applyFont="1" applyFill="1" applyBorder="1" applyAlignment="1">
      <alignment horizontal="right" vertical="center" indent="1"/>
    </xf>
    <xf numFmtId="3" fontId="14" fillId="0" borderId="8" xfId="17" applyNumberFormat="1" applyFont="1" applyFill="1" applyBorder="1" applyAlignment="1">
      <alignment horizontal="right" vertical="center" indent="1"/>
    </xf>
    <xf numFmtId="164" fontId="14" fillId="0" borderId="8" xfId="17" applyNumberFormat="1" applyFont="1" applyFill="1" applyBorder="1" applyAlignment="1">
      <alignment horizontal="right" vertical="center" indent="1"/>
    </xf>
    <xf numFmtId="165" fontId="14" fillId="3" borderId="11" xfId="17" applyNumberFormat="1" applyFont="1" applyFill="1" applyBorder="1" applyAlignment="1">
      <alignment horizontal="right" vertical="center" indent="1"/>
    </xf>
    <xf numFmtId="3" fontId="31" fillId="0" borderId="14" xfId="1" applyNumberFormat="1" applyFont="1" applyFill="1" applyBorder="1" applyAlignment="1">
      <alignment horizontal="right" vertical="center" indent="1"/>
    </xf>
    <xf numFmtId="3" fontId="39" fillId="0" borderId="14" xfId="1" applyNumberFormat="1" applyFont="1" applyFill="1" applyBorder="1" applyAlignment="1">
      <alignment horizontal="right" vertical="center" indent="1"/>
    </xf>
    <xf numFmtId="3" fontId="31" fillId="0" borderId="17" xfId="1" applyNumberFormat="1" applyFont="1" applyFill="1" applyBorder="1" applyAlignment="1">
      <alignment horizontal="right" vertical="center" indent="1"/>
    </xf>
    <xf numFmtId="3" fontId="31" fillId="0" borderId="20" xfId="1" applyNumberFormat="1" applyFont="1" applyFill="1" applyBorder="1" applyAlignment="1">
      <alignment horizontal="right" vertical="center" indent="1"/>
    </xf>
    <xf numFmtId="3" fontId="31" fillId="0" borderId="8" xfId="1" applyNumberFormat="1" applyFont="1" applyFill="1" applyBorder="1" applyAlignment="1">
      <alignment horizontal="right" vertical="center" indent="1"/>
    </xf>
    <xf numFmtId="164" fontId="39" fillId="0" borderId="14" xfId="1" applyNumberFormat="1" applyFont="1" applyFill="1" applyBorder="1" applyAlignment="1">
      <alignment horizontal="right" vertical="center" indent="1"/>
    </xf>
    <xf numFmtId="164" fontId="39" fillId="0" borderId="17" xfId="1" applyNumberFormat="1" applyFont="1" applyFill="1" applyBorder="1" applyAlignment="1">
      <alignment horizontal="right" vertical="center" indent="1"/>
    </xf>
    <xf numFmtId="3" fontId="31" fillId="0" borderId="15" xfId="1" applyNumberFormat="1" applyFont="1" applyFill="1" applyBorder="1" applyAlignment="1">
      <alignment horizontal="right" vertical="center" indent="1"/>
    </xf>
    <xf numFmtId="3" fontId="31" fillId="0" borderId="18" xfId="1" applyNumberFormat="1" applyFont="1" applyFill="1" applyBorder="1" applyAlignment="1">
      <alignment horizontal="right" vertical="center" indent="1"/>
    </xf>
    <xf numFmtId="3" fontId="31" fillId="0" borderId="21" xfId="1" applyNumberFormat="1" applyFont="1" applyFill="1" applyBorder="1" applyAlignment="1">
      <alignment horizontal="right" vertical="center" indent="1"/>
    </xf>
    <xf numFmtId="0" fontId="1" fillId="0" borderId="0" xfId="1" applyFont="1" applyAlignment="1">
      <alignment horizontal="right" indent="1"/>
    </xf>
    <xf numFmtId="3" fontId="14" fillId="0" borderId="28" xfId="17" applyNumberFormat="1" applyFont="1" applyFill="1" applyBorder="1" applyAlignment="1">
      <alignment horizontal="right" vertical="center" indent="1" readingOrder="1"/>
    </xf>
    <xf numFmtId="0" fontId="7" fillId="3" borderId="23" xfId="1" applyFont="1" applyFill="1" applyBorder="1" applyAlignment="1">
      <alignment horizontal="center" vertical="center" wrapText="1"/>
    </xf>
    <xf numFmtId="0" fontId="34" fillId="0" borderId="20" xfId="1" applyFont="1" applyFill="1" applyBorder="1" applyAlignment="1">
      <alignment horizontal="center" vertical="center" wrapText="1" readingOrder="2"/>
    </xf>
    <xf numFmtId="164" fontId="39" fillId="0" borderId="20" xfId="1" applyNumberFormat="1" applyFont="1" applyFill="1" applyBorder="1" applyAlignment="1">
      <alignment horizontal="right" vertical="center" indent="1"/>
    </xf>
    <xf numFmtId="0" fontId="4" fillId="0" borderId="0" xfId="4" applyFont="1" applyAlignment="1">
      <alignment horizontal="center"/>
    </xf>
    <xf numFmtId="0" fontId="4" fillId="6" borderId="0" xfId="4" applyFont="1" applyFill="1" applyBorder="1" applyAlignment="1">
      <alignment horizontal="center" readingOrder="1"/>
    </xf>
    <xf numFmtId="0" fontId="4" fillId="6" borderId="0" xfId="14" applyFill="1" applyBorder="1" applyAlignment="1">
      <alignment vertical="center"/>
    </xf>
    <xf numFmtId="0" fontId="1" fillId="6" borderId="0" xfId="1" applyFill="1" applyBorder="1"/>
    <xf numFmtId="164" fontId="1" fillId="6" borderId="0" xfId="1" applyNumberFormat="1" applyFill="1" applyBorder="1"/>
    <xf numFmtId="0" fontId="14" fillId="6" borderId="0" xfId="14" applyFont="1" applyFill="1" applyBorder="1" applyAlignment="1">
      <alignment vertical="center"/>
    </xf>
    <xf numFmtId="0" fontId="4" fillId="6" borderId="0" xfId="4" applyFont="1" applyFill="1" applyAlignment="1">
      <alignment horizontal="center"/>
    </xf>
    <xf numFmtId="0" fontId="4" fillId="6" borderId="0" xfId="14" applyFont="1" applyFill="1" applyAlignment="1">
      <alignment vertical="center"/>
    </xf>
    <xf numFmtId="0" fontId="19" fillId="6" borderId="0" xfId="1" applyFont="1" applyFill="1" applyAlignment="1">
      <alignment horizontal="right"/>
    </xf>
    <xf numFmtId="0" fontId="19" fillId="6" borderId="0" xfId="1" applyFont="1" applyFill="1"/>
    <xf numFmtId="0" fontId="14" fillId="6" borderId="0" xfId="15" applyFont="1" applyFill="1" applyBorder="1">
      <alignment horizontal="left" vertical="center"/>
    </xf>
    <xf numFmtId="0" fontId="4" fillId="6" borderId="0" xfId="14" applyFont="1" applyFill="1">
      <alignment horizontal="right" vertical="center"/>
    </xf>
    <xf numFmtId="0" fontId="23" fillId="6" borderId="0" xfId="1" applyFont="1" applyFill="1"/>
    <xf numFmtId="0" fontId="1" fillId="6" borderId="0" xfId="15" applyFill="1" applyBorder="1" applyAlignment="1">
      <alignment vertical="center"/>
    </xf>
    <xf numFmtId="0" fontId="14" fillId="6" borderId="0" xfId="15" applyFont="1" applyFill="1" applyBorder="1" applyAlignment="1">
      <alignment vertical="center"/>
    </xf>
    <xf numFmtId="0" fontId="4" fillId="6" borderId="0" xfId="1" applyFont="1" applyFill="1" applyAlignment="1">
      <alignment horizontal="right"/>
    </xf>
    <xf numFmtId="0" fontId="1" fillId="6" borderId="0" xfId="15" applyFont="1" applyFill="1" applyBorder="1" applyAlignment="1">
      <alignment vertical="center"/>
    </xf>
    <xf numFmtId="0" fontId="4" fillId="6" borderId="0" xfId="4" applyFont="1" applyFill="1" applyAlignment="1">
      <alignment horizontal="center" vertical="center"/>
    </xf>
    <xf numFmtId="0" fontId="4" fillId="6" borderId="0" xfId="1" applyFont="1" applyFill="1" applyAlignment="1">
      <alignment horizontal="right" vertical="center" readingOrder="2"/>
    </xf>
    <xf numFmtId="0" fontId="14" fillId="6" borderId="0" xfId="1" applyFont="1" applyFill="1" applyAlignment="1">
      <alignment vertical="center"/>
    </xf>
    <xf numFmtId="0" fontId="14" fillId="6" borderId="0" xfId="1" applyFont="1" applyFill="1" applyAlignment="1">
      <alignment horizontal="left" vertical="center" readingOrder="1"/>
    </xf>
    <xf numFmtId="0" fontId="4" fillId="6" borderId="0" xfId="1" applyFont="1" applyFill="1" applyAlignment="1">
      <alignment horizontal="center" vertical="center" readingOrder="2"/>
    </xf>
    <xf numFmtId="0" fontId="1" fillId="6" borderId="0" xfId="1" applyFill="1" applyAlignment="1">
      <alignment vertical="center"/>
    </xf>
    <xf numFmtId="0" fontId="1" fillId="6" borderId="0" xfId="1" applyFont="1" applyFill="1" applyAlignment="1">
      <alignment vertical="center"/>
    </xf>
    <xf numFmtId="0" fontId="1" fillId="6" borderId="0" xfId="1" applyFont="1" applyFill="1" applyAlignment="1">
      <alignment horizontal="center" vertical="center"/>
    </xf>
    <xf numFmtId="49" fontId="4" fillId="6" borderId="0" xfId="1" applyNumberFormat="1" applyFont="1" applyFill="1" applyAlignment="1">
      <alignment horizontal="right" vertical="center" readingOrder="2"/>
    </xf>
    <xf numFmtId="49" fontId="14" fillId="6" borderId="0" xfId="1" applyNumberFormat="1" applyFont="1" applyFill="1" applyAlignment="1">
      <alignment horizontal="left" vertical="center" readingOrder="1"/>
    </xf>
    <xf numFmtId="0" fontId="1" fillId="6" borderId="0" xfId="1" applyFont="1" applyFill="1"/>
    <xf numFmtId="0" fontId="4" fillId="6" borderId="0" xfId="4" applyFont="1" applyFill="1" applyAlignment="1">
      <alignment vertical="top" wrapText="1"/>
    </xf>
    <xf numFmtId="0" fontId="15" fillId="3" borderId="16" xfId="1" applyFont="1" applyFill="1" applyBorder="1" applyAlignment="1">
      <alignment horizontal="right" vertical="center" wrapText="1" indent="1" readingOrder="2"/>
    </xf>
    <xf numFmtId="0" fontId="1" fillId="3" borderId="18" xfId="1" applyFont="1" applyFill="1" applyBorder="1" applyAlignment="1">
      <alignment horizontal="left" vertical="center" wrapText="1" indent="1" readingOrder="1"/>
    </xf>
    <xf numFmtId="49" fontId="44" fillId="0" borderId="13" xfId="17" applyNumberFormat="1" applyFont="1" applyFill="1" applyBorder="1" applyAlignment="1">
      <alignment horizontal="center" vertical="center" wrapText="1" readingOrder="2"/>
    </xf>
    <xf numFmtId="49" fontId="43" fillId="0" borderId="15" xfId="17" applyNumberFormat="1" applyFont="1" applyFill="1" applyBorder="1" applyAlignment="1">
      <alignment horizontal="center" vertical="center" wrapText="1" readingOrder="1"/>
    </xf>
    <xf numFmtId="49" fontId="44" fillId="0" borderId="39" xfId="17" applyNumberFormat="1" applyFont="1" applyFill="1" applyBorder="1" applyAlignment="1">
      <alignment horizontal="center" vertical="center" wrapText="1" readingOrder="2"/>
    </xf>
    <xf numFmtId="49" fontId="43" fillId="0" borderId="37" xfId="17" applyNumberFormat="1" applyFont="1" applyFill="1" applyBorder="1" applyAlignment="1">
      <alignment horizontal="center" vertical="center" wrapText="1" readingOrder="1"/>
    </xf>
    <xf numFmtId="0" fontId="1" fillId="0" borderId="0" xfId="1" applyAlignment="1">
      <alignment readingOrder="1"/>
    </xf>
    <xf numFmtId="0" fontId="7" fillId="3" borderId="27" xfId="1" applyFont="1" applyFill="1" applyBorder="1" applyAlignment="1">
      <alignment horizontal="center" vertical="center" wrapText="1" readingOrder="1"/>
    </xf>
    <xf numFmtId="0" fontId="7" fillId="3" borderId="23" xfId="1" applyFont="1" applyFill="1" applyBorder="1" applyAlignment="1">
      <alignment horizontal="center" vertical="center" wrapText="1"/>
    </xf>
    <xf numFmtId="0" fontId="4" fillId="6" borderId="0" xfId="4" applyFont="1" applyFill="1" applyAlignment="1">
      <alignment horizontal="center" vertical="center"/>
    </xf>
    <xf numFmtId="3" fontId="1" fillId="0" borderId="15" xfId="18" applyNumberFormat="1" applyFont="1" applyFill="1" applyBorder="1" applyAlignment="1">
      <alignment horizontal="right" vertical="center" indent="1"/>
    </xf>
    <xf numFmtId="3" fontId="1" fillId="0" borderId="37" xfId="18" applyNumberFormat="1" applyFont="1" applyFill="1" applyBorder="1" applyAlignment="1">
      <alignment horizontal="right" vertical="center" indent="1"/>
    </xf>
    <xf numFmtId="3" fontId="14" fillId="0" borderId="23" xfId="17" applyNumberFormat="1" applyFont="1" applyFill="1" applyBorder="1" applyAlignment="1">
      <alignment horizontal="left" vertical="center" wrapText="1" indent="1"/>
    </xf>
    <xf numFmtId="164" fontId="14" fillId="0" borderId="13" xfId="18" applyNumberFormat="1" applyFont="1" applyFill="1" applyBorder="1" applyAlignment="1">
      <alignment horizontal="right" vertical="center" indent="1"/>
    </xf>
    <xf numFmtId="0" fontId="1" fillId="3" borderId="12" xfId="1" applyFont="1" applyFill="1" applyBorder="1" applyAlignment="1">
      <alignment horizontal="center" vertical="center" wrapText="1" readingOrder="2"/>
    </xf>
    <xf numFmtId="164" fontId="27" fillId="3" borderId="11" xfId="1" applyNumberFormat="1" applyFont="1" applyFill="1" applyBorder="1" applyAlignment="1">
      <alignment horizontal="center" vertical="center" readingOrder="1"/>
    </xf>
    <xf numFmtId="0" fontId="7" fillId="3" borderId="27" xfId="1" applyFont="1" applyFill="1" applyBorder="1" applyAlignment="1">
      <alignment horizontal="center" vertical="center" wrapText="1"/>
    </xf>
    <xf numFmtId="0" fontId="14" fillId="6" borderId="15" xfId="1" applyFont="1" applyFill="1" applyBorder="1" applyAlignment="1">
      <alignment horizontal="center" vertical="center" wrapText="1" readingOrder="2"/>
    </xf>
    <xf numFmtId="3" fontId="39" fillId="6" borderId="13" xfId="1" applyNumberFormat="1" applyFont="1" applyFill="1" applyBorder="1" applyAlignment="1">
      <alignment horizontal="right" vertical="center" indent="1" readingOrder="1"/>
    </xf>
    <xf numFmtId="164" fontId="8" fillId="6" borderId="14" xfId="1" applyNumberFormat="1" applyFont="1" applyFill="1" applyBorder="1" applyAlignment="1">
      <alignment horizontal="center" vertical="center" readingOrder="1"/>
    </xf>
    <xf numFmtId="0" fontId="14" fillId="6" borderId="37" xfId="1" applyFont="1" applyFill="1" applyBorder="1" applyAlignment="1">
      <alignment horizontal="center" vertical="center" wrapText="1" readingOrder="2"/>
    </xf>
    <xf numFmtId="164" fontId="8" fillId="6" borderId="38" xfId="1" applyNumberFormat="1" applyFont="1" applyFill="1" applyBorder="1" applyAlignment="1">
      <alignment horizontal="center" vertical="center" readingOrder="1"/>
    </xf>
    <xf numFmtId="0" fontId="14" fillId="6" borderId="11" xfId="1" applyFont="1" applyFill="1" applyBorder="1" applyAlignment="1">
      <alignment horizontal="center" vertical="center" wrapText="1" readingOrder="2"/>
    </xf>
    <xf numFmtId="164" fontId="8" fillId="6" borderId="11" xfId="1" applyNumberFormat="1" applyFont="1" applyFill="1" applyBorder="1" applyAlignment="1">
      <alignment horizontal="center" vertical="center" readingOrder="1"/>
    </xf>
    <xf numFmtId="0" fontId="20" fillId="3" borderId="38" xfId="1" applyFont="1" applyFill="1" applyBorder="1" applyAlignment="1">
      <alignment horizontal="center" vertical="top" wrapText="1" readingOrder="1"/>
    </xf>
    <xf numFmtId="3" fontId="14" fillId="0" borderId="38" xfId="1" applyNumberFormat="1" applyFont="1" applyFill="1" applyBorder="1" applyAlignment="1">
      <alignment horizontal="right" vertical="center" indent="1" readingOrder="1"/>
    </xf>
    <xf numFmtId="0" fontId="1" fillId="6" borderId="0" xfId="1" applyFill="1" applyAlignment="1">
      <alignment horizontal="center" vertical="center"/>
    </xf>
    <xf numFmtId="0" fontId="1" fillId="0" borderId="0" xfId="1" applyAlignment="1">
      <alignment horizontal="center"/>
    </xf>
    <xf numFmtId="165" fontId="14" fillId="6" borderId="8" xfId="1" applyNumberFormat="1" applyFont="1" applyFill="1" applyBorder="1" applyAlignment="1">
      <alignment horizontal="right" vertical="center" indent="1" readingOrder="1"/>
    </xf>
    <xf numFmtId="165" fontId="14" fillId="6" borderId="17" xfId="1" applyNumberFormat="1" applyFont="1" applyFill="1" applyBorder="1" applyAlignment="1">
      <alignment horizontal="right" vertical="center" indent="1" readingOrder="1"/>
    </xf>
    <xf numFmtId="165" fontId="14" fillId="3" borderId="17" xfId="1" applyNumberFormat="1" applyFont="1" applyFill="1" applyBorder="1" applyAlignment="1">
      <alignment horizontal="right" vertical="center" indent="1" readingOrder="1"/>
    </xf>
    <xf numFmtId="165" fontId="14" fillId="3" borderId="20" xfId="1" applyNumberFormat="1" applyFont="1" applyFill="1" applyBorder="1" applyAlignment="1">
      <alignment horizontal="right" vertical="center" indent="1" readingOrder="1"/>
    </xf>
    <xf numFmtId="165" fontId="14" fillId="6" borderId="11" xfId="1" applyNumberFormat="1" applyFont="1" applyFill="1" applyBorder="1" applyAlignment="1">
      <alignment horizontal="right" vertical="center" indent="1" readingOrder="1"/>
    </xf>
    <xf numFmtId="165" fontId="14" fillId="6" borderId="15" xfId="1" applyNumberFormat="1" applyFont="1" applyFill="1" applyBorder="1" applyAlignment="1">
      <alignment horizontal="right" vertical="center" indent="1" readingOrder="1"/>
    </xf>
    <xf numFmtId="165" fontId="14" fillId="6" borderId="18" xfId="1" applyNumberFormat="1" applyFont="1" applyFill="1" applyBorder="1" applyAlignment="1">
      <alignment horizontal="right" vertical="center" indent="1" readingOrder="1"/>
    </xf>
    <xf numFmtId="3" fontId="14" fillId="0" borderId="37" xfId="1" applyNumberFormat="1" applyFont="1" applyFill="1" applyBorder="1" applyAlignment="1">
      <alignment horizontal="right" vertical="center" indent="1" readingOrder="1"/>
    </xf>
    <xf numFmtId="164" fontId="14" fillId="6" borderId="8" xfId="1" applyNumberFormat="1" applyFont="1" applyFill="1" applyBorder="1" applyAlignment="1">
      <alignment horizontal="right" vertical="center" indent="1"/>
    </xf>
    <xf numFmtId="0" fontId="7" fillId="3" borderId="23" xfId="1" applyFont="1" applyFill="1" applyBorder="1" applyAlignment="1">
      <alignment horizontal="center" vertical="center" wrapText="1"/>
    </xf>
    <xf numFmtId="0" fontId="15" fillId="3" borderId="23" xfId="1" applyFont="1" applyFill="1" applyBorder="1" applyAlignment="1">
      <alignment horizontal="center" vertical="center" wrapText="1"/>
    </xf>
    <xf numFmtId="3" fontId="39" fillId="0" borderId="38" xfId="1" applyNumberFormat="1" applyFont="1" applyFill="1" applyBorder="1" applyAlignment="1">
      <alignment horizontal="right" vertical="center" indent="1"/>
    </xf>
    <xf numFmtId="0" fontId="1" fillId="0" borderId="25" xfId="1" applyBorder="1"/>
    <xf numFmtId="3" fontId="40" fillId="0" borderId="38" xfId="1" applyNumberFormat="1" applyFont="1" applyFill="1" applyBorder="1" applyAlignment="1">
      <alignment horizontal="right" vertical="center" indent="1" readingOrder="1"/>
    </xf>
    <xf numFmtId="3" fontId="39" fillId="0" borderId="38" xfId="1" applyNumberFormat="1" applyFont="1" applyFill="1" applyBorder="1" applyAlignment="1">
      <alignment horizontal="right" vertical="center" indent="1" readingOrder="1"/>
    </xf>
    <xf numFmtId="3" fontId="39" fillId="0" borderId="38" xfId="1" applyNumberFormat="1" applyFont="1" applyFill="1" applyBorder="1" applyAlignment="1">
      <alignment horizontal="right" indent="1"/>
    </xf>
    <xf numFmtId="0" fontId="4" fillId="6" borderId="0" xfId="1" applyFont="1" applyFill="1" applyAlignment="1">
      <alignment horizontal="center" vertical="center" readingOrder="2"/>
    </xf>
    <xf numFmtId="3" fontId="31" fillId="0" borderId="8" xfId="1" applyNumberFormat="1" applyFont="1" applyFill="1" applyBorder="1" applyAlignment="1">
      <alignment horizontal="right" vertical="center" indent="1" readingOrder="1"/>
    </xf>
    <xf numFmtId="3" fontId="31" fillId="0" borderId="11" xfId="1" applyNumberFormat="1" applyFont="1" applyFill="1" applyBorder="1" applyAlignment="1">
      <alignment horizontal="right" vertical="center" indent="1" readingOrder="1"/>
    </xf>
    <xf numFmtId="0" fontId="4" fillId="6" borderId="40" xfId="17" applyFont="1" applyFill="1" applyBorder="1" applyAlignment="1">
      <alignment horizontal="right" vertical="center" wrapText="1" indent="1" readingOrder="2"/>
    </xf>
    <xf numFmtId="3" fontId="31" fillId="0" borderId="11" xfId="18" applyNumberFormat="1" applyFont="1" applyFill="1" applyBorder="1" applyAlignment="1">
      <alignment horizontal="right" vertical="center" indent="1"/>
    </xf>
    <xf numFmtId="3" fontId="39" fillId="0" borderId="23" xfId="16" applyNumberFormat="1" applyFont="1" applyFill="1" applyBorder="1" applyAlignment="1">
      <alignment horizontal="right" vertical="center" indent="1"/>
    </xf>
    <xf numFmtId="0" fontId="4" fillId="6" borderId="0" xfId="1" applyFont="1" applyFill="1"/>
    <xf numFmtId="0" fontId="34" fillId="0" borderId="13" xfId="1" applyFont="1" applyFill="1" applyBorder="1" applyAlignment="1">
      <alignment horizontal="right" vertical="center" wrapText="1" indent="1" readingOrder="2"/>
    </xf>
    <xf numFmtId="0" fontId="34" fillId="0" borderId="16" xfId="1" applyFont="1" applyFill="1" applyBorder="1" applyAlignment="1">
      <alignment horizontal="right" vertical="center" wrapText="1" indent="1" readingOrder="2"/>
    </xf>
    <xf numFmtId="0" fontId="34" fillId="0" borderId="13" xfId="1" applyFont="1" applyFill="1" applyBorder="1" applyAlignment="1">
      <alignment horizontal="right" vertical="center" indent="1" readingOrder="2"/>
    </xf>
    <xf numFmtId="0" fontId="34" fillId="0" borderId="16" xfId="1" applyFont="1" applyFill="1" applyBorder="1" applyAlignment="1">
      <alignment horizontal="right" vertical="center" indent="1" readingOrder="2"/>
    </xf>
    <xf numFmtId="0" fontId="31" fillId="0" borderId="15" xfId="17" applyFont="1" applyFill="1" applyBorder="1" applyAlignment="1">
      <alignment horizontal="left" vertical="center" wrapText="1" indent="1" readingOrder="1"/>
    </xf>
    <xf numFmtId="0" fontId="31" fillId="0" borderId="18" xfId="17" applyFont="1" applyFill="1" applyBorder="1" applyAlignment="1">
      <alignment horizontal="left" vertical="center" wrapText="1" indent="1" readingOrder="1"/>
    </xf>
    <xf numFmtId="0" fontId="31" fillId="0" borderId="21" xfId="17" applyFont="1" applyFill="1" applyBorder="1" applyAlignment="1">
      <alignment horizontal="left" vertical="center" wrapText="1" indent="1" readingOrder="1"/>
    </xf>
    <xf numFmtId="0" fontId="8" fillId="3" borderId="38" xfId="1" applyFont="1" applyFill="1" applyBorder="1" applyAlignment="1">
      <alignment horizontal="center" vertical="top" wrapText="1" readingOrder="2"/>
    </xf>
    <xf numFmtId="3" fontId="47" fillId="3" borderId="17" xfId="0" applyNumberFormat="1" applyFont="1" applyFill="1" applyBorder="1" applyAlignment="1">
      <alignment horizontal="right" vertical="center" indent="1"/>
    </xf>
    <xf numFmtId="3" fontId="47" fillId="6" borderId="17" xfId="0" applyNumberFormat="1" applyFont="1" applyFill="1" applyBorder="1" applyAlignment="1">
      <alignment horizontal="right" vertical="center" indent="1"/>
    </xf>
    <xf numFmtId="3" fontId="47" fillId="6" borderId="20" xfId="0" applyNumberFormat="1" applyFont="1" applyFill="1" applyBorder="1" applyAlignment="1">
      <alignment horizontal="right" vertical="center" indent="1"/>
    </xf>
    <xf numFmtId="3" fontId="14" fillId="0" borderId="8" xfId="1" applyNumberFormat="1" applyFont="1" applyFill="1" applyBorder="1" applyAlignment="1">
      <alignment horizontal="right" vertical="center" indent="1"/>
    </xf>
    <xf numFmtId="3" fontId="14" fillId="3" borderId="15" xfId="1" applyNumberFormat="1" applyFont="1" applyFill="1" applyBorder="1" applyAlignment="1">
      <alignment horizontal="right" vertical="center" indent="1" readingOrder="1"/>
    </xf>
    <xf numFmtId="165" fontId="14" fillId="3" borderId="15" xfId="1" applyNumberFormat="1" applyFont="1" applyFill="1" applyBorder="1" applyAlignment="1">
      <alignment horizontal="right" vertical="center" indent="1" readingOrder="1"/>
    </xf>
    <xf numFmtId="165" fontId="14" fillId="3" borderId="18" xfId="1" applyNumberFormat="1" applyFont="1" applyFill="1" applyBorder="1" applyAlignment="1">
      <alignment horizontal="right" vertical="center" indent="1" readingOrder="1"/>
    </xf>
    <xf numFmtId="3" fontId="14" fillId="3" borderId="37" xfId="1" applyNumberFormat="1" applyFont="1" applyFill="1" applyBorder="1" applyAlignment="1">
      <alignment horizontal="right" vertical="center" indent="1" readingOrder="1"/>
    </xf>
    <xf numFmtId="165" fontId="14" fillId="3" borderId="21" xfId="1" applyNumberFormat="1" applyFont="1" applyFill="1" applyBorder="1" applyAlignment="1">
      <alignment horizontal="right" vertical="center" indent="1" readingOrder="1"/>
    </xf>
    <xf numFmtId="1" fontId="1" fillId="0" borderId="17" xfId="18" applyNumberFormat="1" applyFont="1" applyFill="1" applyBorder="1">
      <alignment horizontal="right" vertical="center" indent="1"/>
    </xf>
    <xf numFmtId="1" fontId="1" fillId="3" borderId="11" xfId="18" applyNumberFormat="1" applyFont="1" applyFill="1" applyBorder="1">
      <alignment horizontal="right" vertical="center" indent="1"/>
    </xf>
    <xf numFmtId="3" fontId="39" fillId="0" borderId="27" xfId="16" applyNumberFormat="1" applyFont="1" applyFill="1" applyBorder="1" applyAlignment="1">
      <alignment horizontal="right" vertical="center" indent="1"/>
    </xf>
    <xf numFmtId="3" fontId="31" fillId="0" borderId="27" xfId="1" applyNumberFormat="1" applyFont="1" applyFill="1" applyBorder="1" applyAlignment="1">
      <alignment horizontal="right" vertical="center" indent="1" readingOrder="1"/>
    </xf>
    <xf numFmtId="3" fontId="39" fillId="0" borderId="23" xfId="1" applyNumberFormat="1" applyFont="1" applyFill="1" applyBorder="1" applyAlignment="1">
      <alignment horizontal="right" vertical="center" indent="1" readingOrder="1"/>
    </xf>
    <xf numFmtId="3" fontId="1" fillId="0" borderId="38" xfId="1" applyNumberFormat="1" applyFont="1" applyFill="1" applyBorder="1" applyAlignment="1">
      <alignment horizontal="right" vertical="center" indent="1" readingOrder="1"/>
    </xf>
    <xf numFmtId="0" fontId="14" fillId="0" borderId="25" xfId="1" applyFont="1" applyFill="1" applyBorder="1" applyAlignment="1">
      <alignment horizontal="right" vertical="center" indent="1" readingOrder="1"/>
    </xf>
    <xf numFmtId="3" fontId="39" fillId="3" borderId="17" xfId="0" applyNumberFormat="1" applyFont="1" applyFill="1" applyBorder="1" applyAlignment="1">
      <alignment horizontal="right" vertical="center" indent="1"/>
    </xf>
    <xf numFmtId="3" fontId="39" fillId="6" borderId="20" xfId="0" applyNumberFormat="1" applyFont="1" applyFill="1" applyBorder="1" applyAlignment="1">
      <alignment horizontal="right" vertical="center" indent="1"/>
    </xf>
    <xf numFmtId="0" fontId="39" fillId="3" borderId="17" xfId="1" applyFont="1" applyFill="1" applyBorder="1" applyAlignment="1">
      <alignment horizontal="left" vertical="center" wrapText="1" indent="1" readingOrder="1"/>
    </xf>
    <xf numFmtId="0" fontId="39" fillId="6" borderId="17" xfId="1" applyFont="1" applyFill="1" applyBorder="1" applyAlignment="1">
      <alignment horizontal="left" vertical="center" wrapText="1" indent="1" readingOrder="1"/>
    </xf>
    <xf numFmtId="0" fontId="39" fillId="3" borderId="20" xfId="1" applyFont="1" applyFill="1" applyBorder="1" applyAlignment="1">
      <alignment horizontal="left" vertical="center" wrapText="1" indent="1" readingOrder="1"/>
    </xf>
    <xf numFmtId="0" fontId="14" fillId="3" borderId="17" xfId="1" applyFont="1" applyFill="1" applyBorder="1" applyAlignment="1">
      <alignment horizontal="left" vertical="center" wrapText="1" indent="1" readingOrder="1"/>
    </xf>
    <xf numFmtId="0" fontId="14" fillId="6" borderId="17" xfId="1" applyFont="1" applyFill="1" applyBorder="1" applyAlignment="1">
      <alignment horizontal="left" vertical="center" wrapText="1" indent="1" readingOrder="1"/>
    </xf>
    <xf numFmtId="0" fontId="14" fillId="3" borderId="20" xfId="1" applyFont="1" applyFill="1" applyBorder="1" applyAlignment="1">
      <alignment horizontal="left" vertical="center" wrapText="1" indent="1" readingOrder="1"/>
    </xf>
    <xf numFmtId="0" fontId="14" fillId="6" borderId="14" xfId="1" applyFont="1" applyFill="1" applyBorder="1" applyAlignment="1">
      <alignment horizontal="left" vertical="center" wrapText="1" indent="1" readingOrder="1"/>
    </xf>
    <xf numFmtId="3" fontId="1" fillId="0" borderId="33" xfId="1" applyNumberFormat="1" applyFont="1" applyBorder="1"/>
    <xf numFmtId="1" fontId="1" fillId="3" borderId="17" xfId="18" applyNumberFormat="1" applyFont="1" applyFill="1" applyBorder="1">
      <alignment horizontal="right" vertical="center" indent="1"/>
    </xf>
    <xf numFmtId="0" fontId="4" fillId="3" borderId="53" xfId="17" applyFont="1" applyFill="1" applyBorder="1" applyAlignment="1">
      <alignment horizontal="center" vertical="center" wrapText="1" readingOrder="2"/>
    </xf>
    <xf numFmtId="3" fontId="1" fillId="3" borderId="54" xfId="18" applyNumberFormat="1" applyFont="1" applyFill="1" applyBorder="1">
      <alignment horizontal="right" vertical="center" indent="1"/>
    </xf>
    <xf numFmtId="164" fontId="1" fillId="3" borderId="54" xfId="16" applyNumberFormat="1" applyFont="1" applyFill="1" applyBorder="1">
      <alignment horizontal="right" vertical="center" indent="1"/>
    </xf>
    <xf numFmtId="0" fontId="14" fillId="3" borderId="55" xfId="17" applyFont="1" applyFill="1" applyBorder="1" applyAlignment="1">
      <alignment horizontal="center" vertical="center" wrapText="1" readingOrder="1"/>
    </xf>
    <xf numFmtId="3" fontId="39" fillId="0" borderId="27" xfId="1" applyNumberFormat="1" applyFont="1" applyFill="1" applyBorder="1" applyAlignment="1">
      <alignment horizontal="right" vertical="center" indent="1" readingOrder="1"/>
    </xf>
    <xf numFmtId="0" fontId="14" fillId="0" borderId="56" xfId="1" applyFont="1" applyFill="1" applyBorder="1" applyAlignment="1">
      <alignment horizontal="left" vertical="center" wrapText="1" indent="1" readingOrder="1"/>
    </xf>
    <xf numFmtId="164" fontId="14" fillId="3" borderId="17" xfId="16" applyNumberFormat="1" applyFont="1" applyFill="1" applyBorder="1">
      <alignment horizontal="right" vertical="center" indent="1"/>
    </xf>
    <xf numFmtId="164" fontId="14" fillId="3" borderId="54" xfId="16" applyNumberFormat="1" applyFont="1" applyFill="1" applyBorder="1">
      <alignment horizontal="right" vertical="center" indent="1"/>
    </xf>
    <xf numFmtId="3" fontId="39" fillId="0" borderId="8" xfId="1" applyNumberFormat="1" applyFont="1" applyFill="1" applyBorder="1" applyAlignment="1">
      <alignment horizontal="right" vertical="center" indent="1"/>
    </xf>
    <xf numFmtId="3" fontId="39" fillId="0" borderId="27" xfId="1" applyNumberFormat="1" applyFont="1" applyFill="1" applyBorder="1" applyAlignment="1">
      <alignment horizontal="right" vertical="center" indent="1"/>
    </xf>
    <xf numFmtId="0" fontId="41" fillId="0" borderId="0" xfId="0" applyFont="1" applyFill="1" applyBorder="1" applyAlignment="1">
      <alignment horizontal="center" vertical="center"/>
    </xf>
    <xf numFmtId="1" fontId="41" fillId="0" borderId="0" xfId="0" applyNumberFormat="1" applyFont="1" applyFill="1" applyBorder="1" applyAlignment="1">
      <alignment horizontal="right" vertical="center" indent="1"/>
    </xf>
    <xf numFmtId="164" fontId="41" fillId="0" borderId="0" xfId="0" applyNumberFormat="1" applyFont="1" applyFill="1" applyBorder="1" applyAlignment="1">
      <alignment horizontal="right" vertical="center" indent="1"/>
    </xf>
    <xf numFmtId="0" fontId="42" fillId="0" borderId="0" xfId="0" applyFont="1" applyFill="1" applyBorder="1" applyAlignment="1">
      <alignment horizontal="center" vertical="center"/>
    </xf>
    <xf numFmtId="3" fontId="31" fillId="0" borderId="0" xfId="1" applyNumberFormat="1" applyFont="1" applyBorder="1" applyAlignment="1">
      <alignment horizontal="right" vertical="center" indent="1" readingOrder="1"/>
    </xf>
    <xf numFmtId="3" fontId="31" fillId="3" borderId="0" xfId="1" applyNumberFormat="1" applyFont="1" applyFill="1" applyBorder="1" applyAlignment="1">
      <alignment horizontal="right" vertical="center" indent="1" readingOrder="1"/>
    </xf>
    <xf numFmtId="0" fontId="4" fillId="3" borderId="10" xfId="1" applyFont="1" applyFill="1" applyBorder="1" applyAlignment="1">
      <alignment horizontal="center" vertical="center" readingOrder="2"/>
    </xf>
    <xf numFmtId="165" fontId="14" fillId="3" borderId="11" xfId="1" applyNumberFormat="1" applyFont="1" applyFill="1" applyBorder="1" applyAlignment="1">
      <alignment horizontal="right" vertical="center" indent="1"/>
    </xf>
    <xf numFmtId="3" fontId="39" fillId="0" borderId="13" xfId="1" applyNumberFormat="1" applyFont="1" applyFill="1" applyBorder="1" applyAlignment="1">
      <alignment horizontal="right" vertical="center" indent="1"/>
    </xf>
    <xf numFmtId="3" fontId="39" fillId="0" borderId="39" xfId="1" applyNumberFormat="1" applyFont="1" applyFill="1" applyBorder="1" applyAlignment="1">
      <alignment horizontal="right" vertical="center" indent="1"/>
    </xf>
    <xf numFmtId="0" fontId="49" fillId="3" borderId="28" xfId="1" applyFont="1" applyFill="1" applyBorder="1" applyAlignment="1">
      <alignment horizontal="center" vertical="top" wrapText="1" readingOrder="2"/>
    </xf>
    <xf numFmtId="3" fontId="39" fillId="0" borderId="8" xfId="1" applyNumberFormat="1" applyFont="1" applyFill="1" applyBorder="1" applyAlignment="1">
      <alignment horizontal="right" vertical="center" indent="1" readingOrder="1"/>
    </xf>
    <xf numFmtId="3" fontId="14" fillId="0" borderId="37" xfId="18" applyNumberFormat="1" applyFont="1" applyFill="1" applyBorder="1">
      <alignment horizontal="right" vertical="center" indent="1"/>
    </xf>
    <xf numFmtId="164" fontId="14" fillId="3" borderId="11" xfId="17" applyNumberFormat="1" applyFont="1" applyFill="1" applyBorder="1" applyAlignment="1">
      <alignment horizontal="left" vertical="center" wrapText="1" indent="1"/>
    </xf>
    <xf numFmtId="164" fontId="14" fillId="3" borderId="28" xfId="17" applyNumberFormat="1" applyFont="1" applyFill="1" applyBorder="1" applyAlignment="1">
      <alignment horizontal="left" vertical="center" wrapText="1" indent="1" readingOrder="1"/>
    </xf>
    <xf numFmtId="164" fontId="14" fillId="3" borderId="11" xfId="1" applyNumberFormat="1" applyFont="1" applyFill="1" applyBorder="1" applyAlignment="1">
      <alignment horizontal="right" vertical="center" indent="1" readingOrder="1"/>
    </xf>
    <xf numFmtId="3" fontId="39" fillId="6" borderId="11" xfId="1" applyNumberFormat="1" applyFont="1" applyFill="1" applyBorder="1" applyAlignment="1">
      <alignment horizontal="right" vertical="center" indent="1" readingOrder="1"/>
    </xf>
    <xf numFmtId="3" fontId="39" fillId="6" borderId="10" xfId="1" applyNumberFormat="1" applyFont="1" applyFill="1" applyBorder="1" applyAlignment="1">
      <alignment horizontal="right" vertical="center" indent="1" readingOrder="1"/>
    </xf>
    <xf numFmtId="165" fontId="39" fillId="6" borderId="10" xfId="1" applyNumberFormat="1" applyFont="1" applyFill="1" applyBorder="1" applyAlignment="1">
      <alignment horizontal="right" vertical="center" indent="1" readingOrder="1"/>
    </xf>
    <xf numFmtId="0" fontId="15" fillId="3" borderId="12" xfId="1" applyFont="1" applyFill="1" applyBorder="1" applyAlignment="1">
      <alignment horizontal="center" vertical="center" readingOrder="1"/>
    </xf>
    <xf numFmtId="0" fontId="15" fillId="3" borderId="41" xfId="1" applyFont="1" applyFill="1" applyBorder="1" applyAlignment="1">
      <alignment horizontal="center" vertical="center" readingOrder="1"/>
    </xf>
    <xf numFmtId="0" fontId="4" fillId="3" borderId="10" xfId="1" applyFont="1" applyFill="1" applyBorder="1" applyAlignment="1">
      <alignment horizontal="center" readingOrder="2"/>
    </xf>
    <xf numFmtId="164" fontId="14" fillId="3" borderId="11" xfId="1" applyNumberFormat="1" applyFont="1" applyFill="1" applyBorder="1" applyAlignment="1">
      <alignment horizontal="right" vertical="center" indent="1"/>
    </xf>
    <xf numFmtId="0" fontId="4" fillId="3" borderId="40" xfId="1" applyFont="1" applyFill="1" applyBorder="1" applyAlignment="1">
      <alignment horizontal="center" readingOrder="2"/>
    </xf>
    <xf numFmtId="164" fontId="14" fillId="3" borderId="28" xfId="1" applyNumberFormat="1" applyFont="1" applyFill="1" applyBorder="1" applyAlignment="1">
      <alignment horizontal="right" vertical="center" indent="1"/>
    </xf>
    <xf numFmtId="165" fontId="39" fillId="6" borderId="28" xfId="1" applyNumberFormat="1" applyFont="1" applyFill="1" applyBorder="1" applyAlignment="1">
      <alignment horizontal="right" vertical="center" indent="1"/>
    </xf>
    <xf numFmtId="165" fontId="39" fillId="6" borderId="11" xfId="1" applyNumberFormat="1" applyFont="1" applyFill="1" applyBorder="1" applyAlignment="1">
      <alignment horizontal="right" vertical="center" indent="1"/>
    </xf>
    <xf numFmtId="2" fontId="4" fillId="3" borderId="22" xfId="17" applyNumberFormat="1" applyFont="1" applyFill="1" applyBorder="1" applyAlignment="1">
      <alignment horizontal="right" vertical="center" wrapText="1" indent="1" readingOrder="2"/>
    </xf>
    <xf numFmtId="0" fontId="7" fillId="3" borderId="23" xfId="1" applyFont="1" applyFill="1" applyBorder="1" applyAlignment="1">
      <alignment horizontal="center" vertical="center" wrapText="1"/>
    </xf>
    <xf numFmtId="0" fontId="14" fillId="3" borderId="23" xfId="1" applyFont="1" applyFill="1" applyBorder="1" applyAlignment="1">
      <alignment horizontal="center" vertical="center" wrapText="1" readingOrder="1"/>
    </xf>
    <xf numFmtId="0" fontId="4" fillId="3" borderId="38" xfId="1" applyFont="1" applyFill="1" applyBorder="1" applyAlignment="1">
      <alignment horizontal="center" vertical="center" wrapText="1" readingOrder="1"/>
    </xf>
    <xf numFmtId="0" fontId="15" fillId="3" borderId="23" xfId="1" applyFont="1" applyFill="1" applyBorder="1" applyAlignment="1">
      <alignment horizontal="center" vertical="center" wrapText="1"/>
    </xf>
    <xf numFmtId="0" fontId="4" fillId="3" borderId="27" xfId="1" applyFont="1" applyFill="1" applyBorder="1" applyAlignment="1">
      <alignment horizontal="center" vertical="center" wrapText="1" readingOrder="2"/>
    </xf>
    <xf numFmtId="0" fontId="4" fillId="3" borderId="38" xfId="1" applyFont="1" applyFill="1" applyBorder="1" applyAlignment="1">
      <alignment horizontal="center" vertical="center" wrapText="1" readingOrder="2"/>
    </xf>
    <xf numFmtId="1" fontId="1" fillId="0" borderId="0" xfId="33" applyNumberFormat="1" applyFont="1" applyBorder="1" applyAlignment="1">
      <alignment vertical="center"/>
    </xf>
    <xf numFmtId="1" fontId="51" fillId="0" borderId="0" xfId="33" applyNumberFormat="1" applyFont="1" applyBorder="1" applyAlignment="1">
      <alignment vertical="center"/>
    </xf>
    <xf numFmtId="0" fontId="4" fillId="6" borderId="0" xfId="24" applyFont="1" applyFill="1">
      <alignment horizontal="right" vertical="center"/>
    </xf>
    <xf numFmtId="1" fontId="11" fillId="0" borderId="0" xfId="1" applyNumberFormat="1" applyFont="1" applyBorder="1" applyAlignment="1">
      <alignment vertical="center"/>
    </xf>
    <xf numFmtId="0" fontId="45" fillId="0" borderId="0" xfId="34"/>
    <xf numFmtId="0" fontId="45" fillId="0" borderId="0" xfId="34" applyAlignment="1">
      <alignment vertical="center" wrapText="1"/>
    </xf>
    <xf numFmtId="0" fontId="52" fillId="3" borderId="17" xfId="34" applyFont="1" applyFill="1" applyBorder="1" applyAlignment="1">
      <alignment horizontal="center" vertical="center"/>
    </xf>
    <xf numFmtId="1" fontId="4" fillId="6" borderId="0" xfId="1" applyNumberFormat="1" applyFont="1" applyFill="1" applyBorder="1" applyAlignment="1">
      <alignment horizontal="centerContinuous" vertical="center"/>
    </xf>
    <xf numFmtId="1" fontId="1" fillId="0" borderId="0" xfId="1" applyNumberFormat="1" applyFont="1" applyBorder="1" applyAlignment="1">
      <alignment vertical="center"/>
    </xf>
    <xf numFmtId="0" fontId="52" fillId="3" borderId="8" xfId="34" applyFont="1" applyFill="1" applyBorder="1" applyAlignment="1">
      <alignment horizontal="center" vertical="center"/>
    </xf>
    <xf numFmtId="0" fontId="52" fillId="3" borderId="11" xfId="34" applyFont="1" applyFill="1" applyBorder="1" applyAlignment="1">
      <alignment horizontal="center" vertical="center"/>
    </xf>
    <xf numFmtId="0" fontId="39" fillId="0" borderId="14" xfId="34" applyFont="1" applyBorder="1" applyAlignment="1">
      <alignment horizontal="center" vertical="center" readingOrder="2"/>
    </xf>
    <xf numFmtId="0" fontId="39" fillId="0" borderId="17" xfId="34" applyFont="1" applyBorder="1" applyAlignment="1">
      <alignment horizontal="center" vertical="center" readingOrder="2"/>
    </xf>
    <xf numFmtId="0" fontId="39" fillId="3" borderId="17" xfId="34" applyFont="1" applyFill="1" applyBorder="1" applyAlignment="1">
      <alignment horizontal="center" vertical="center" readingOrder="2"/>
    </xf>
    <xf numFmtId="0" fontId="39" fillId="0" borderId="20" xfId="34" applyFont="1" applyBorder="1" applyAlignment="1">
      <alignment horizontal="center" vertical="center" readingOrder="2"/>
    </xf>
    <xf numFmtId="0" fontId="39" fillId="3" borderId="8" xfId="34" applyFont="1" applyFill="1" applyBorder="1" applyAlignment="1">
      <alignment horizontal="center" vertical="center" readingOrder="2"/>
    </xf>
    <xf numFmtId="0" fontId="39" fillId="3" borderId="11" xfId="34" applyFont="1" applyFill="1" applyBorder="1" applyAlignment="1">
      <alignment horizontal="center" vertical="center" readingOrder="2"/>
    </xf>
    <xf numFmtId="0" fontId="39" fillId="3" borderId="17" xfId="34" applyFont="1" applyFill="1" applyBorder="1" applyAlignment="1">
      <alignment horizontal="right" vertical="center" indent="1"/>
    </xf>
    <xf numFmtId="0" fontId="39" fillId="3" borderId="8" xfId="34" applyFont="1" applyFill="1" applyBorder="1" applyAlignment="1">
      <alignment horizontal="right" vertical="center" indent="1"/>
    </xf>
    <xf numFmtId="0" fontId="39" fillId="3" borderId="11" xfId="34" applyFont="1" applyFill="1" applyBorder="1" applyAlignment="1">
      <alignment horizontal="right" vertical="center" indent="1"/>
    </xf>
    <xf numFmtId="0" fontId="53" fillId="0" borderId="14" xfId="34" applyFont="1" applyBorder="1" applyAlignment="1">
      <alignment horizontal="center" vertical="center"/>
    </xf>
    <xf numFmtId="0" fontId="53" fillId="0" borderId="17" xfId="34" applyFont="1" applyBorder="1" applyAlignment="1">
      <alignment horizontal="center" vertical="center"/>
    </xf>
    <xf numFmtId="0" fontId="53" fillId="3" borderId="17" xfId="34" applyFont="1" applyFill="1" applyBorder="1" applyAlignment="1">
      <alignment horizontal="center" vertical="center"/>
    </xf>
    <xf numFmtId="0" fontId="53" fillId="0" borderId="20" xfId="34" applyFont="1" applyBorder="1" applyAlignment="1">
      <alignment horizontal="center" vertical="center"/>
    </xf>
    <xf numFmtId="164" fontId="8" fillId="3" borderId="23" xfId="1" applyNumberFormat="1" applyFont="1" applyFill="1" applyBorder="1" applyAlignment="1">
      <alignment horizontal="center" vertical="center" wrapText="1"/>
    </xf>
    <xf numFmtId="0" fontId="31" fillId="0" borderId="14" xfId="1" applyFont="1" applyFill="1" applyBorder="1" applyAlignment="1">
      <alignment horizontal="center" vertical="center" wrapText="1" readingOrder="1"/>
    </xf>
    <xf numFmtId="0" fontId="31" fillId="0" borderId="17" xfId="1" applyFont="1" applyFill="1" applyBorder="1" applyAlignment="1">
      <alignment horizontal="center" vertical="center" wrapText="1" readingOrder="1"/>
    </xf>
    <xf numFmtId="0" fontId="31" fillId="0" borderId="20" xfId="1" applyFont="1" applyFill="1" applyBorder="1" applyAlignment="1">
      <alignment horizontal="center" vertical="center" wrapText="1" readingOrder="1"/>
    </xf>
    <xf numFmtId="0" fontId="49" fillId="3" borderId="28" xfId="1" applyFont="1" applyFill="1" applyBorder="1" applyAlignment="1">
      <alignment horizontal="center" vertical="top" wrapText="1" readingOrder="1"/>
    </xf>
    <xf numFmtId="0" fontId="15" fillId="3" borderId="38" xfId="1" applyFont="1" applyFill="1" applyBorder="1" applyAlignment="1">
      <alignment horizontal="center" vertical="center" wrapText="1"/>
    </xf>
    <xf numFmtId="0" fontId="14" fillId="3" borderId="38" xfId="1" applyFont="1" applyFill="1" applyBorder="1" applyAlignment="1">
      <alignment horizontal="center" vertical="center" wrapText="1" readingOrder="1"/>
    </xf>
    <xf numFmtId="49" fontId="14" fillId="6" borderId="41" xfId="1" applyNumberFormat="1" applyFont="1" applyFill="1" applyBorder="1" applyAlignment="1">
      <alignment horizontal="center" vertical="center" readingOrder="1"/>
    </xf>
    <xf numFmtId="0" fontId="14" fillId="3" borderId="23" xfId="1" applyFont="1" applyFill="1" applyBorder="1" applyAlignment="1">
      <alignment horizontal="center" vertical="center" wrapText="1" readingOrder="1"/>
    </xf>
    <xf numFmtId="0" fontId="31" fillId="3" borderId="57" xfId="34" applyFont="1" applyFill="1" applyBorder="1" applyAlignment="1">
      <alignment horizontal="center" wrapText="1" readingOrder="2"/>
    </xf>
    <xf numFmtId="0" fontId="27" fillId="3" borderId="28" xfId="19" applyFont="1" applyFill="1" applyBorder="1" applyAlignment="1">
      <alignment horizontal="center" vertical="top" wrapText="1" readingOrder="1"/>
    </xf>
    <xf numFmtId="0" fontId="14" fillId="6" borderId="0" xfId="24" applyFont="1" applyFill="1" applyAlignment="1">
      <alignment horizontal="left" vertical="center"/>
    </xf>
    <xf numFmtId="0" fontId="4" fillId="6" borderId="0" xfId="4" applyFont="1" applyFill="1" applyAlignment="1">
      <alignment horizontal="center" vertical="center"/>
    </xf>
    <xf numFmtId="0" fontId="14" fillId="6" borderId="0" xfId="24" applyFont="1" applyFill="1" applyAlignment="1">
      <alignment horizontal="left"/>
    </xf>
    <xf numFmtId="0" fontId="39" fillId="6" borderId="15" xfId="0" applyFont="1" applyFill="1" applyBorder="1" applyAlignment="1">
      <alignment horizontal="center" vertical="center"/>
    </xf>
    <xf numFmtId="0" fontId="39" fillId="0" borderId="18" xfId="0" applyFont="1" applyBorder="1" applyAlignment="1">
      <alignment horizontal="center" vertical="center"/>
    </xf>
    <xf numFmtId="0" fontId="39" fillId="6" borderId="18" xfId="0" applyFont="1" applyFill="1" applyBorder="1" applyAlignment="1">
      <alignment horizontal="center" vertical="center"/>
    </xf>
    <xf numFmtId="0" fontId="39" fillId="3" borderId="21" xfId="0" applyFont="1" applyFill="1" applyBorder="1" applyAlignment="1">
      <alignment horizontal="center" vertical="center"/>
    </xf>
    <xf numFmtId="0" fontId="34" fillId="6" borderId="13" xfId="0" applyFont="1" applyFill="1" applyBorder="1" applyAlignment="1">
      <alignment horizontal="center" vertical="center" readingOrder="2"/>
    </xf>
    <xf numFmtId="0" fontId="46" fillId="3" borderId="16" xfId="0" applyFont="1" applyFill="1" applyBorder="1" applyAlignment="1">
      <alignment horizontal="center" vertical="center" readingOrder="2"/>
    </xf>
    <xf numFmtId="0" fontId="46" fillId="6" borderId="16" xfId="0" applyFont="1" applyFill="1" applyBorder="1" applyAlignment="1">
      <alignment horizontal="center" vertical="center" readingOrder="2"/>
    </xf>
    <xf numFmtId="0" fontId="46" fillId="6" borderId="19" xfId="0" applyFont="1" applyFill="1" applyBorder="1" applyAlignment="1">
      <alignment horizontal="center" vertical="center" readingOrder="2"/>
    </xf>
    <xf numFmtId="0" fontId="48" fillId="3" borderId="18" xfId="0" applyFont="1" applyFill="1" applyBorder="1" applyAlignment="1">
      <alignment horizontal="center" vertical="center"/>
    </xf>
    <xf numFmtId="0" fontId="48" fillId="6" borderId="18" xfId="0" applyFont="1" applyFill="1" applyBorder="1" applyAlignment="1">
      <alignment horizontal="center" vertical="center"/>
    </xf>
    <xf numFmtId="0" fontId="48" fillId="6" borderId="21" xfId="0" applyFont="1" applyFill="1" applyBorder="1" applyAlignment="1">
      <alignment horizontal="center" vertical="center"/>
    </xf>
    <xf numFmtId="0" fontId="14" fillId="6" borderId="41" xfId="17" applyFont="1" applyFill="1" applyBorder="1" applyAlignment="1">
      <alignment horizontal="left" vertical="center" wrapText="1" indent="1" readingOrder="1"/>
    </xf>
    <xf numFmtId="49" fontId="4" fillId="3" borderId="45" xfId="1" applyNumberFormat="1" applyFont="1" applyFill="1" applyBorder="1" applyAlignment="1">
      <alignment horizontal="center" vertical="center" wrapText="1" readingOrder="2"/>
    </xf>
    <xf numFmtId="49" fontId="14" fillId="3" borderId="44" xfId="1" applyNumberFormat="1" applyFont="1" applyFill="1" applyBorder="1" applyAlignment="1">
      <alignment horizontal="center" vertical="center" wrapText="1" readingOrder="1"/>
    </xf>
    <xf numFmtId="0" fontId="14" fillId="3" borderId="44" xfId="1" applyFont="1" applyFill="1" applyBorder="1" applyAlignment="1">
      <alignment horizontal="center" vertical="center" wrapText="1" readingOrder="1"/>
    </xf>
    <xf numFmtId="3" fontId="14" fillId="3" borderId="17" xfId="18" applyNumberFormat="1" applyFont="1" applyFill="1" applyBorder="1">
      <alignment horizontal="right" vertical="center" indent="1"/>
    </xf>
    <xf numFmtId="3" fontId="14" fillId="3" borderId="54" xfId="18" applyNumberFormat="1" applyFont="1" applyFill="1" applyBorder="1">
      <alignment horizontal="right" vertical="center" indent="1"/>
    </xf>
    <xf numFmtId="0" fontId="4" fillId="6" borderId="51" xfId="17" applyFont="1" applyFill="1" applyBorder="1" applyAlignment="1">
      <alignment horizontal="center" vertical="center" wrapText="1" readingOrder="2"/>
    </xf>
    <xf numFmtId="3" fontId="1" fillId="6" borderId="50" xfId="18" applyNumberFormat="1" applyFont="1" applyFill="1" applyBorder="1">
      <alignment horizontal="right" vertical="center" indent="1"/>
    </xf>
    <xf numFmtId="164" fontId="1" fillId="6" borderId="50" xfId="16" applyNumberFormat="1" applyFont="1" applyFill="1" applyBorder="1">
      <alignment horizontal="right" vertical="center" indent="1"/>
    </xf>
    <xf numFmtId="3" fontId="14" fillId="6" borderId="50" xfId="18" applyNumberFormat="1" applyFont="1" applyFill="1" applyBorder="1">
      <alignment horizontal="right" vertical="center" indent="1"/>
    </xf>
    <xf numFmtId="164" fontId="14" fillId="6" borderId="50" xfId="16" applyNumberFormat="1" applyFont="1" applyFill="1" applyBorder="1">
      <alignment horizontal="right" vertical="center" indent="1"/>
    </xf>
    <xf numFmtId="0" fontId="14" fillId="6" borderId="52" xfId="17" applyFont="1" applyFill="1" applyBorder="1" applyAlignment="1">
      <alignment horizontal="center" vertical="center" wrapText="1" readingOrder="1"/>
    </xf>
    <xf numFmtId="1" fontId="39" fillId="3" borderId="8" xfId="34" applyNumberFormat="1" applyFont="1" applyFill="1" applyBorder="1" applyAlignment="1">
      <alignment horizontal="right" vertical="center" indent="1"/>
    </xf>
    <xf numFmtId="1" fontId="39" fillId="3" borderId="17" xfId="34" applyNumberFormat="1" applyFont="1" applyFill="1" applyBorder="1" applyAlignment="1">
      <alignment horizontal="right" vertical="center" indent="1"/>
    </xf>
    <xf numFmtId="0" fontId="31" fillId="7" borderId="58" xfId="0" applyFont="1" applyFill="1" applyBorder="1" applyAlignment="1">
      <alignment horizontal="left" vertical="center" wrapText="1" indent="1"/>
    </xf>
    <xf numFmtId="0" fontId="31" fillId="0" borderId="58" xfId="0" applyFont="1" applyBorder="1" applyAlignment="1">
      <alignment horizontal="left" vertical="center" wrapText="1" indent="1"/>
    </xf>
    <xf numFmtId="0" fontId="31" fillId="7" borderId="59" xfId="0" applyFont="1" applyFill="1" applyBorder="1" applyAlignment="1">
      <alignment horizontal="left" vertical="center" wrapText="1" indent="1"/>
    </xf>
    <xf numFmtId="0" fontId="54" fillId="7" borderId="60" xfId="0" applyFont="1" applyFill="1" applyBorder="1" applyAlignment="1">
      <alignment horizontal="center" vertical="top" wrapText="1"/>
    </xf>
    <xf numFmtId="0" fontId="54" fillId="7" borderId="61" xfId="0" applyFont="1" applyFill="1" applyBorder="1" applyAlignment="1">
      <alignment horizontal="center" vertical="top" wrapText="1"/>
    </xf>
    <xf numFmtId="3" fontId="1" fillId="3" borderId="11" xfId="18" applyNumberFormat="1" applyFont="1" applyFill="1" applyBorder="1">
      <alignment horizontal="right" vertical="center" indent="1"/>
    </xf>
    <xf numFmtId="164" fontId="1" fillId="3" borderId="11" xfId="16" applyNumberFormat="1" applyFont="1" applyFill="1" applyBorder="1">
      <alignment horizontal="right" vertical="center" indent="1"/>
    </xf>
    <xf numFmtId="0" fontId="15" fillId="3" borderId="7" xfId="1" applyFont="1" applyFill="1" applyBorder="1" applyAlignment="1">
      <alignment horizontal="center" vertical="center" wrapText="1" readingOrder="2"/>
    </xf>
    <xf numFmtId="0" fontId="14" fillId="3" borderId="14" xfId="1" applyFont="1" applyFill="1" applyBorder="1" applyAlignment="1">
      <alignment horizontal="right" vertical="center" indent="1" readingOrder="1"/>
    </xf>
    <xf numFmtId="0" fontId="14" fillId="3" borderId="9" xfId="1" applyFont="1" applyFill="1" applyBorder="1" applyAlignment="1">
      <alignment horizontal="center" vertical="center" wrapText="1" readingOrder="1"/>
    </xf>
    <xf numFmtId="0" fontId="15" fillId="6" borderId="10" xfId="1" applyFont="1" applyFill="1" applyBorder="1" applyAlignment="1">
      <alignment horizontal="center" vertical="center" wrapText="1" readingOrder="2"/>
    </xf>
    <xf numFmtId="164" fontId="14" fillId="6" borderId="11" xfId="17" applyNumberFormat="1" applyFont="1" applyFill="1" applyBorder="1" applyAlignment="1">
      <alignment horizontal="left" vertical="center" wrapText="1" indent="1" readingOrder="1"/>
    </xf>
    <xf numFmtId="0" fontId="54" fillId="7" borderId="60" xfId="0" applyFont="1" applyFill="1" applyBorder="1" applyAlignment="1">
      <alignment horizontal="center" vertical="top" wrapText="1" readingOrder="2"/>
    </xf>
    <xf numFmtId="0" fontId="54" fillId="7" borderId="61" xfId="0" applyFont="1" applyFill="1" applyBorder="1" applyAlignment="1">
      <alignment horizontal="center" vertical="top" wrapText="1" readingOrder="2"/>
    </xf>
    <xf numFmtId="0" fontId="55" fillId="7" borderId="61" xfId="0" applyFont="1" applyFill="1" applyBorder="1" applyAlignment="1">
      <alignment horizontal="center" vertical="top" wrapText="1"/>
    </xf>
    <xf numFmtId="49" fontId="14" fillId="0" borderId="0" xfId="17" applyNumberFormat="1" applyFont="1" applyFill="1" applyBorder="1" applyAlignment="1">
      <alignment horizontal="center" vertical="center" wrapText="1" readingOrder="1"/>
    </xf>
    <xf numFmtId="49" fontId="4" fillId="3" borderId="40" xfId="1" applyNumberFormat="1" applyFont="1" applyFill="1" applyBorder="1" applyAlignment="1">
      <alignment horizontal="center" vertical="center" readingOrder="2"/>
    </xf>
    <xf numFmtId="49" fontId="14" fillId="3" borderId="41" xfId="1" applyNumberFormat="1" applyFont="1" applyFill="1" applyBorder="1" applyAlignment="1">
      <alignment horizontal="center" vertical="center" readingOrder="1"/>
    </xf>
    <xf numFmtId="49" fontId="14" fillId="0" borderId="42" xfId="17" applyNumberFormat="1" applyFont="1" applyFill="1" applyBorder="1" applyAlignment="1">
      <alignment horizontal="center" vertical="center" wrapText="1" readingOrder="1"/>
    </xf>
    <xf numFmtId="49" fontId="14" fillId="6" borderId="42" xfId="17" applyNumberFormat="1" applyFont="1" applyFill="1" applyBorder="1" applyAlignment="1">
      <alignment horizontal="center" vertical="center" wrapText="1" readingOrder="1"/>
    </xf>
    <xf numFmtId="49" fontId="14" fillId="6" borderId="15" xfId="17" applyNumberFormat="1" applyFont="1" applyFill="1" applyBorder="1" applyAlignment="1">
      <alignment horizontal="center" vertical="center" wrapText="1" readingOrder="1"/>
    </xf>
    <xf numFmtId="3" fontId="1" fillId="6" borderId="14" xfId="1" applyNumberFormat="1" applyFont="1" applyFill="1" applyBorder="1" applyAlignment="1">
      <alignment horizontal="right" vertical="center" indent="1" readingOrder="1"/>
    </xf>
    <xf numFmtId="49" fontId="14" fillId="6" borderId="0" xfId="17" applyNumberFormat="1" applyFont="1" applyFill="1" applyBorder="1" applyAlignment="1">
      <alignment horizontal="center" vertical="center" wrapText="1" readingOrder="1"/>
    </xf>
    <xf numFmtId="0" fontId="56" fillId="0" borderId="0" xfId="1" applyFont="1"/>
    <xf numFmtId="0" fontId="39" fillId="0" borderId="8" xfId="34" applyFont="1" applyBorder="1" applyAlignment="1">
      <alignment horizontal="center" vertical="center" readingOrder="2"/>
    </xf>
    <xf numFmtId="0" fontId="53" fillId="0" borderId="8" xfId="34" applyFont="1" applyBorder="1" applyAlignment="1">
      <alignment horizontal="center" vertical="center"/>
    </xf>
    <xf numFmtId="0" fontId="39" fillId="0" borderId="11" xfId="34" applyFont="1" applyBorder="1" applyAlignment="1">
      <alignment horizontal="center" vertical="center" readingOrder="2"/>
    </xf>
    <xf numFmtId="0" fontId="53" fillId="0" borderId="11" xfId="34" applyFont="1" applyBorder="1" applyAlignment="1">
      <alignment horizontal="center" vertical="center"/>
    </xf>
    <xf numFmtId="3" fontId="14" fillId="3" borderId="11" xfId="18" applyNumberFormat="1" applyFont="1" applyFill="1" applyBorder="1">
      <alignment horizontal="right" vertical="center" indent="1"/>
    </xf>
    <xf numFmtId="164" fontId="14" fillId="3" borderId="11" xfId="16" applyNumberFormat="1" applyFont="1" applyFill="1" applyBorder="1">
      <alignment horizontal="right" vertical="center" indent="1"/>
    </xf>
    <xf numFmtId="1" fontId="1" fillId="6" borderId="47" xfId="0" applyNumberFormat="1" applyFont="1" applyFill="1" applyBorder="1" applyAlignment="1" applyProtection="1">
      <alignment horizontal="center" vertical="center"/>
    </xf>
    <xf numFmtId="1" fontId="1" fillId="3" borderId="47" xfId="0" applyNumberFormat="1" applyFont="1" applyFill="1" applyBorder="1" applyAlignment="1" applyProtection="1">
      <alignment horizontal="center" vertical="center"/>
    </xf>
    <xf numFmtId="1" fontId="1" fillId="6" borderId="48" xfId="0" applyNumberFormat="1" applyFont="1" applyFill="1" applyBorder="1" applyAlignment="1" applyProtection="1">
      <alignment horizontal="center" vertical="center"/>
    </xf>
    <xf numFmtId="0" fontId="58" fillId="0" borderId="7" xfId="0" applyFont="1" applyFill="1" applyBorder="1" applyAlignment="1">
      <alignment horizontal="center" vertical="center"/>
    </xf>
    <xf numFmtId="3" fontId="57" fillId="0" borderId="8" xfId="0" applyNumberFormat="1" applyFont="1" applyFill="1" applyBorder="1" applyAlignment="1">
      <alignment horizontal="right" vertical="center" indent="1"/>
    </xf>
    <xf numFmtId="3" fontId="57" fillId="0" borderId="8" xfId="0" applyNumberFormat="1" applyFont="1" applyFill="1" applyBorder="1" applyAlignment="1" applyProtection="1">
      <alignment horizontal="right" vertical="center" indent="1"/>
    </xf>
    <xf numFmtId="0" fontId="58" fillId="0" borderId="9" xfId="0" applyFont="1" applyFill="1" applyBorder="1" applyAlignment="1">
      <alignment horizontal="center" vertical="center"/>
    </xf>
    <xf numFmtId="0" fontId="59" fillId="0" borderId="0" xfId="1" applyFont="1" applyBorder="1" applyAlignment="1">
      <alignment horizontal="center" vertical="top" wrapText="1" readingOrder="2"/>
    </xf>
    <xf numFmtId="0" fontId="1" fillId="0" borderId="0" xfId="1" applyBorder="1" applyAlignment="1">
      <alignment vertical="top" wrapText="1"/>
    </xf>
    <xf numFmtId="0" fontId="16" fillId="0" borderId="0" xfId="1" applyFont="1" applyBorder="1" applyAlignment="1">
      <alignment horizontal="center" vertical="top" wrapText="1" readingOrder="1"/>
    </xf>
    <xf numFmtId="0" fontId="60" fillId="0" borderId="0" xfId="1" applyFont="1" applyBorder="1" applyAlignment="1">
      <alignment horizontal="center" vertical="top" wrapText="1" readingOrder="2"/>
    </xf>
    <xf numFmtId="0" fontId="61" fillId="0" borderId="0" xfId="1" applyFont="1" applyBorder="1" applyAlignment="1">
      <alignment horizontal="center" vertical="top" wrapText="1" readingOrder="2"/>
    </xf>
    <xf numFmtId="0" fontId="4" fillId="0" borderId="0" xfId="1" applyFont="1" applyBorder="1" applyAlignment="1">
      <alignment horizontal="center" vertical="top" wrapText="1" readingOrder="1"/>
    </xf>
    <xf numFmtId="0" fontId="62" fillId="0" borderId="0" xfId="1" applyFont="1" applyBorder="1" applyAlignment="1">
      <alignment horizontal="center" vertical="top" wrapText="1" readingOrder="2"/>
    </xf>
    <xf numFmtId="0" fontId="14" fillId="0" borderId="0" xfId="1" applyFont="1" applyBorder="1" applyAlignment="1">
      <alignment horizontal="center" vertical="top" wrapText="1"/>
    </xf>
    <xf numFmtId="0" fontId="63" fillId="0" borderId="0" xfId="1" applyFont="1" applyBorder="1" applyAlignment="1">
      <alignment horizontal="justify" vertical="top" wrapText="1" readingOrder="2"/>
    </xf>
    <xf numFmtId="0" fontId="64" fillId="0" borderId="0" xfId="1" applyFont="1" applyBorder="1" applyAlignment="1">
      <alignment horizontal="center" vertical="top" wrapText="1" readingOrder="2"/>
    </xf>
    <xf numFmtId="0" fontId="65" fillId="0" borderId="0" xfId="1" applyFont="1" applyBorder="1" applyAlignment="1">
      <alignment horizontal="left" vertical="top" wrapText="1" readingOrder="1"/>
    </xf>
    <xf numFmtId="0" fontId="4" fillId="0" borderId="0" xfId="1" applyFont="1" applyBorder="1" applyAlignment="1">
      <alignment horizontal="justify" vertical="top" wrapText="1" readingOrder="2"/>
    </xf>
    <xf numFmtId="0" fontId="65" fillId="0" borderId="0" xfId="1" applyFont="1" applyBorder="1" applyAlignment="1">
      <alignment horizontal="left" vertical="top" wrapText="1" readingOrder="2"/>
    </xf>
    <xf numFmtId="0" fontId="16" fillId="0" borderId="0" xfId="1" applyFont="1" applyBorder="1" applyAlignment="1">
      <alignment horizontal="left" vertical="top" wrapText="1" readingOrder="1"/>
    </xf>
    <xf numFmtId="0" fontId="13" fillId="0" borderId="0" xfId="1" applyFont="1" applyBorder="1" applyAlignment="1">
      <alignment horizontal="justify" vertical="top" wrapText="1" readingOrder="2"/>
    </xf>
    <xf numFmtId="0" fontId="4" fillId="0" borderId="0" xfId="1" applyFont="1" applyFill="1" applyBorder="1" applyAlignment="1">
      <alignment horizontal="center" vertical="center" wrapText="1" readingOrder="2"/>
    </xf>
    <xf numFmtId="0" fontId="12" fillId="0" borderId="0" xfId="1" applyFont="1" applyFill="1" applyBorder="1" applyAlignment="1">
      <alignment horizontal="center" vertical="center" wrapText="1" readingOrder="2"/>
    </xf>
    <xf numFmtId="0" fontId="66" fillId="0" borderId="0" xfId="1" applyFont="1" applyFill="1" applyBorder="1" applyAlignment="1">
      <alignment horizontal="center" vertical="center" wrapText="1" readingOrder="2"/>
    </xf>
    <xf numFmtId="0" fontId="67" fillId="0" borderId="0" xfId="1" applyFont="1" applyFill="1" applyBorder="1"/>
    <xf numFmtId="0" fontId="68" fillId="0" borderId="0" xfId="1" applyFont="1" applyFill="1" applyBorder="1" applyAlignment="1">
      <alignment horizontal="center" vertical="center" readingOrder="2"/>
    </xf>
    <xf numFmtId="0" fontId="1" fillId="0" borderId="0" xfId="1" applyAlignment="1">
      <alignment vertical="center" readingOrder="1"/>
    </xf>
    <xf numFmtId="49" fontId="1" fillId="0" borderId="0" xfId="1" applyNumberFormat="1" applyAlignment="1">
      <alignment vertical="center" readingOrder="1"/>
    </xf>
    <xf numFmtId="49" fontId="1" fillId="0" borderId="0" xfId="1" applyNumberFormat="1" applyAlignment="1">
      <alignment vertical="center"/>
    </xf>
    <xf numFmtId="0" fontId="1" fillId="0" borderId="0" xfId="1" applyBorder="1" applyAlignment="1">
      <alignment vertical="center"/>
    </xf>
    <xf numFmtId="0" fontId="1" fillId="0" borderId="69" xfId="50" applyFont="1" applyBorder="1" applyAlignment="1">
      <alignment horizontal="left" vertical="center" wrapText="1" indent="1"/>
    </xf>
    <xf numFmtId="0" fontId="5" fillId="0" borderId="69" xfId="1" applyFont="1" applyBorder="1" applyAlignment="1">
      <alignment horizontal="center" vertical="top" wrapText="1" readingOrder="1"/>
    </xf>
    <xf numFmtId="49" fontId="5" fillId="0" borderId="69" xfId="1" applyNumberFormat="1" applyFont="1" applyBorder="1" applyAlignment="1">
      <alignment horizontal="center" vertical="top" wrapText="1" readingOrder="1"/>
    </xf>
    <xf numFmtId="0" fontId="14" fillId="0" borderId="69" xfId="1" applyFont="1" applyBorder="1" applyAlignment="1">
      <alignment horizontal="right" vertical="top" wrapText="1" indent="1" readingOrder="2"/>
    </xf>
    <xf numFmtId="0" fontId="1" fillId="0" borderId="70" xfId="50" applyFont="1" applyBorder="1" applyAlignment="1">
      <alignment horizontal="left" vertical="center" wrapText="1" indent="1"/>
    </xf>
    <xf numFmtId="0" fontId="5" fillId="0" borderId="70" xfId="1" applyFont="1" applyBorder="1" applyAlignment="1">
      <alignment horizontal="center" vertical="top" wrapText="1" readingOrder="1"/>
    </xf>
    <xf numFmtId="49" fontId="5" fillId="0" borderId="70" xfId="1" applyNumberFormat="1" applyFont="1" applyBorder="1" applyAlignment="1">
      <alignment horizontal="center" vertical="top" wrapText="1" readingOrder="1"/>
    </xf>
    <xf numFmtId="0" fontId="14" fillId="0" borderId="70" xfId="1" applyFont="1" applyBorder="1" applyAlignment="1">
      <alignment horizontal="right" vertical="top" wrapText="1" indent="1" readingOrder="2"/>
    </xf>
    <xf numFmtId="0" fontId="70" fillId="0" borderId="70" xfId="0" applyFont="1" applyBorder="1" applyAlignment="1">
      <alignment horizontal="center" vertical="center" wrapText="1"/>
    </xf>
    <xf numFmtId="16" fontId="71" fillId="0" borderId="70" xfId="1" applyNumberFormat="1" applyFont="1" applyBorder="1" applyAlignment="1">
      <alignment horizontal="center" vertical="top" wrapText="1" readingOrder="1"/>
    </xf>
    <xf numFmtId="49" fontId="71" fillId="0" borderId="70" xfId="1" applyNumberFormat="1" applyFont="1" applyBorder="1" applyAlignment="1">
      <alignment horizontal="center" vertical="top" wrapText="1" readingOrder="1"/>
    </xf>
    <xf numFmtId="0" fontId="72" fillId="0" borderId="70" xfId="1" applyFont="1" applyBorder="1" applyAlignment="1">
      <alignment horizontal="center" vertical="center" readingOrder="2"/>
    </xf>
    <xf numFmtId="0" fontId="45" fillId="0" borderId="0" xfId="0" applyFont="1" applyAlignment="1">
      <alignment vertical="center"/>
    </xf>
    <xf numFmtId="0" fontId="73" fillId="0" borderId="70" xfId="0" applyFont="1" applyBorder="1" applyAlignment="1">
      <alignment horizontal="center" vertical="center" wrapText="1"/>
    </xf>
    <xf numFmtId="0" fontId="74" fillId="0" borderId="70" xfId="1" applyFont="1" applyBorder="1" applyAlignment="1">
      <alignment horizontal="center" vertical="center" wrapText="1" readingOrder="1"/>
    </xf>
    <xf numFmtId="49" fontId="74" fillId="0" borderId="70" xfId="1" applyNumberFormat="1" applyFont="1" applyBorder="1" applyAlignment="1">
      <alignment vertical="center" wrapText="1" readingOrder="1"/>
    </xf>
    <xf numFmtId="0" fontId="75" fillId="0" borderId="70" xfId="1" applyFont="1" applyBorder="1" applyAlignment="1">
      <alignment horizontal="center" vertical="top" readingOrder="2"/>
    </xf>
    <xf numFmtId="0" fontId="14" fillId="0" borderId="70" xfId="1" applyFont="1" applyBorder="1" applyAlignment="1">
      <alignment horizontal="right" vertical="center" wrapText="1" indent="1" readingOrder="2"/>
    </xf>
    <xf numFmtId="0" fontId="1" fillId="0" borderId="70" xfId="0" applyFont="1" applyBorder="1" applyAlignment="1">
      <alignment horizontal="left" vertical="center" wrapText="1" indent="1"/>
    </xf>
    <xf numFmtId="49" fontId="74" fillId="0" borderId="70" xfId="1" applyNumberFormat="1" applyFont="1" applyBorder="1" applyAlignment="1">
      <alignment horizontal="center" vertical="center" wrapText="1" readingOrder="1"/>
    </xf>
    <xf numFmtId="0" fontId="75" fillId="0" borderId="70" xfId="1" applyFont="1" applyBorder="1" applyAlignment="1">
      <alignment horizontal="center" vertical="center" readingOrder="2"/>
    </xf>
    <xf numFmtId="0" fontId="14" fillId="0" borderId="70" xfId="0" applyFont="1" applyBorder="1" applyAlignment="1">
      <alignment horizontal="center" vertical="center" wrapText="1" readingOrder="2"/>
    </xf>
    <xf numFmtId="0" fontId="76" fillId="0" borderId="70" xfId="1" applyFont="1" applyBorder="1" applyAlignment="1">
      <alignment horizontal="center" vertical="center" wrapText="1" readingOrder="1"/>
    </xf>
    <xf numFmtId="49" fontId="76" fillId="0" borderId="70" xfId="1" applyNumberFormat="1" applyFont="1" applyBorder="1" applyAlignment="1">
      <alignment vertical="center" wrapText="1" readingOrder="1"/>
    </xf>
    <xf numFmtId="0" fontId="77" fillId="0" borderId="70" xfId="1" applyFont="1" applyBorder="1" applyAlignment="1">
      <alignment horizontal="center" vertical="center" wrapText="1" readingOrder="2"/>
    </xf>
    <xf numFmtId="0" fontId="14" fillId="3" borderId="71" xfId="1" applyFont="1" applyFill="1" applyBorder="1" applyAlignment="1">
      <alignment horizontal="center" vertical="center" wrapText="1" readingOrder="2"/>
    </xf>
    <xf numFmtId="0" fontId="14" fillId="3" borderId="71" xfId="1" applyFont="1" applyFill="1" applyBorder="1" applyAlignment="1">
      <alignment horizontal="center" vertical="center" wrapText="1" readingOrder="1"/>
    </xf>
    <xf numFmtId="49" fontId="14" fillId="3" borderId="71" xfId="1" applyNumberFormat="1" applyFont="1" applyFill="1" applyBorder="1" applyAlignment="1">
      <alignment horizontal="center" vertical="center" wrapText="1" readingOrder="1"/>
    </xf>
    <xf numFmtId="49" fontId="13" fillId="0" borderId="0" xfId="1" applyNumberFormat="1" applyFont="1" applyAlignment="1">
      <alignment vertical="center" readingOrder="1"/>
    </xf>
    <xf numFmtId="0" fontId="1" fillId="0" borderId="75" xfId="1" applyBorder="1" applyAlignment="1">
      <alignment vertical="center"/>
    </xf>
    <xf numFmtId="0" fontId="1" fillId="0" borderId="76" xfId="1" applyBorder="1" applyAlignment="1">
      <alignment vertical="center" readingOrder="1"/>
    </xf>
    <xf numFmtId="0" fontId="1" fillId="0" borderId="77" xfId="1" applyBorder="1" applyAlignment="1">
      <alignment vertical="center"/>
    </xf>
    <xf numFmtId="0" fontId="1" fillId="0" borderId="0" xfId="1" applyAlignment="1">
      <alignment vertical="center" wrapText="1"/>
    </xf>
    <xf numFmtId="0" fontId="1" fillId="0" borderId="69" xfId="1" applyBorder="1" applyAlignment="1">
      <alignment horizontal="left" vertical="center" wrapText="1" indent="1"/>
    </xf>
    <xf numFmtId="0" fontId="17" fillId="0" borderId="70" xfId="1" applyFont="1" applyBorder="1" applyAlignment="1">
      <alignment horizontal="left" vertical="top" wrapText="1" indent="1" readingOrder="1"/>
    </xf>
    <xf numFmtId="0" fontId="17" fillId="0" borderId="70" xfId="1" applyFont="1" applyBorder="1" applyAlignment="1">
      <alignment horizontal="left" vertical="center" wrapText="1" indent="1"/>
    </xf>
    <xf numFmtId="0" fontId="17" fillId="0" borderId="70" xfId="1" applyFont="1" applyBorder="1" applyAlignment="1">
      <alignment horizontal="center" vertical="center" wrapText="1" readingOrder="1"/>
    </xf>
    <xf numFmtId="0" fontId="78" fillId="0" borderId="70" xfId="1" applyFont="1" applyBorder="1" applyAlignment="1">
      <alignment horizontal="right" vertical="center" wrapText="1" indent="1" readingOrder="2"/>
    </xf>
    <xf numFmtId="0" fontId="13" fillId="0" borderId="0" xfId="1" applyFont="1" applyAlignment="1">
      <alignment vertical="center" readingOrder="1"/>
    </xf>
    <xf numFmtId="0" fontId="61" fillId="0" borderId="0" xfId="1" applyFont="1" applyAlignment="1">
      <alignment horizontal="center" vertical="center" readingOrder="2"/>
    </xf>
    <xf numFmtId="0" fontId="13" fillId="0" borderId="0" xfId="1" applyFont="1" applyBorder="1" applyAlignment="1">
      <alignment horizontal="right" vertical="top" wrapText="1" readingOrder="2"/>
    </xf>
    <xf numFmtId="0" fontId="2" fillId="0" borderId="0" xfId="1" applyFont="1" applyBorder="1" applyAlignment="1">
      <alignment horizontal="center" vertical="center" wrapText="1" readingOrder="2"/>
    </xf>
    <xf numFmtId="0" fontId="79" fillId="0" borderId="0" xfId="1" applyFont="1" applyBorder="1" applyAlignment="1">
      <alignment horizontal="center" vertical="center" wrapText="1" readingOrder="2"/>
    </xf>
    <xf numFmtId="0" fontId="66" fillId="0" borderId="0" xfId="1" applyFont="1" applyBorder="1" applyAlignment="1">
      <alignment horizontal="center" vertical="center" wrapText="1" readingOrder="2"/>
    </xf>
    <xf numFmtId="0" fontId="80" fillId="0" borderId="0" xfId="1" applyFont="1"/>
    <xf numFmtId="0" fontId="68" fillId="0" borderId="0" xfId="1" applyFont="1" applyBorder="1" applyAlignment="1">
      <alignment horizontal="center" vertical="center" readingOrder="2"/>
    </xf>
    <xf numFmtId="0" fontId="1" fillId="0" borderId="0" xfId="1" applyFont="1" applyFill="1" applyBorder="1"/>
    <xf numFmtId="0" fontId="13" fillId="0" borderId="0" xfId="1" applyFont="1" applyBorder="1" applyAlignment="1">
      <alignment horizontal="left" vertical="top" wrapText="1" readingOrder="1"/>
    </xf>
    <xf numFmtId="0" fontId="16" fillId="0" borderId="0" xfId="1" applyFont="1" applyAlignment="1">
      <alignment vertical="center" wrapText="1"/>
    </xf>
    <xf numFmtId="0" fontId="13" fillId="0" borderId="0" xfId="1" applyFont="1" applyFill="1" applyBorder="1" applyAlignment="1">
      <alignment horizontal="right" vertical="center" wrapText="1" readingOrder="2"/>
    </xf>
    <xf numFmtId="0" fontId="13" fillId="0" borderId="0" xfId="1" applyFont="1" applyAlignment="1">
      <alignment horizontal="right" vertical="center" wrapText="1" readingOrder="2"/>
    </xf>
    <xf numFmtId="49" fontId="15" fillId="0" borderId="0" xfId="1" applyNumberFormat="1" applyFont="1" applyAlignment="1">
      <alignment vertical="top" readingOrder="1"/>
    </xf>
    <xf numFmtId="0" fontId="15" fillId="0" borderId="0" xfId="1" applyFont="1" applyBorder="1" applyAlignment="1">
      <alignment horizontal="left" vertical="top" wrapText="1" readingOrder="1"/>
    </xf>
    <xf numFmtId="0" fontId="13" fillId="0" borderId="0" xfId="1" applyFont="1" applyFill="1" applyBorder="1" applyAlignment="1">
      <alignment horizontal="justify" vertical="top" wrapText="1" readingOrder="2"/>
    </xf>
    <xf numFmtId="0" fontId="13" fillId="0" borderId="0" xfId="1" applyFont="1" applyAlignment="1">
      <alignment horizontal="right" vertical="top" wrapText="1" readingOrder="2"/>
    </xf>
    <xf numFmtId="49" fontId="13" fillId="0" borderId="0" xfId="1" applyNumberFormat="1" applyFont="1" applyAlignment="1">
      <alignment horizontal="right" vertical="top" readingOrder="2"/>
    </xf>
    <xf numFmtId="0" fontId="13" fillId="0" borderId="0" xfId="1" applyFont="1" applyFill="1" applyBorder="1" applyAlignment="1">
      <alignment horizontal="right" vertical="top" wrapText="1" readingOrder="2"/>
    </xf>
    <xf numFmtId="0" fontId="13" fillId="0" borderId="0" xfId="1" applyFont="1" applyFill="1" applyBorder="1" applyAlignment="1">
      <alignment vertical="top" wrapText="1" readingOrder="2"/>
    </xf>
    <xf numFmtId="0" fontId="15" fillId="0" borderId="0" xfId="1" applyFont="1" applyAlignment="1">
      <alignment horizontal="left" vertical="top" wrapText="1" readingOrder="1"/>
    </xf>
    <xf numFmtId="0" fontId="13" fillId="0" borderId="0" xfId="1" applyFont="1" applyBorder="1" applyAlignment="1">
      <alignment vertical="top" wrapText="1" readingOrder="2"/>
    </xf>
    <xf numFmtId="0" fontId="16" fillId="0" borderId="0" xfId="1" applyFont="1" applyAlignment="1">
      <alignment vertical="top" wrapText="1"/>
    </xf>
    <xf numFmtId="0" fontId="12" fillId="0" borderId="0" xfId="1" applyFont="1" applyBorder="1" applyAlignment="1">
      <alignment horizontal="center" vertical="center" wrapText="1" readingOrder="2"/>
    </xf>
    <xf numFmtId="0" fontId="81" fillId="0" borderId="0" xfId="1" applyFont="1" applyFill="1" applyBorder="1" applyAlignment="1">
      <alignment vertical="center" wrapText="1" readingOrder="2"/>
    </xf>
    <xf numFmtId="0" fontId="4" fillId="0" borderId="0" xfId="1" applyFont="1" applyAlignment="1">
      <alignment horizontal="right" wrapText="1" readingOrder="2"/>
    </xf>
    <xf numFmtId="0" fontId="1" fillId="0" borderId="0" xfId="1" applyFont="1" applyAlignment="1">
      <alignment horizontal="left" wrapText="1" readingOrder="1"/>
    </xf>
    <xf numFmtId="0" fontId="14" fillId="0" borderId="0" xfId="1" applyFont="1" applyAlignment="1">
      <alignment horizontal="left" wrapText="1" readingOrder="1"/>
    </xf>
    <xf numFmtId="0" fontId="16" fillId="0" borderId="0" xfId="1" applyFont="1" applyAlignment="1">
      <alignment horizontal="left" wrapText="1" readingOrder="1"/>
    </xf>
    <xf numFmtId="0" fontId="1" fillId="0" borderId="0" xfId="1" applyFont="1" applyAlignment="1">
      <alignment vertical="center"/>
    </xf>
    <xf numFmtId="0" fontId="65" fillId="0" borderId="0" xfId="1" applyFont="1" applyBorder="1" applyAlignment="1">
      <alignment horizontal="left" vertical="center" wrapText="1" readingOrder="1"/>
    </xf>
    <xf numFmtId="0" fontId="1" fillId="0" borderId="0" xfId="1" applyFont="1" applyAlignment="1">
      <alignment vertical="top" wrapText="1" readingOrder="1"/>
    </xf>
    <xf numFmtId="0" fontId="4" fillId="0" borderId="0" xfId="1" applyFont="1" applyAlignment="1">
      <alignment vertical="top" wrapText="1" readingOrder="2"/>
    </xf>
    <xf numFmtId="0" fontId="1" fillId="0" borderId="0" xfId="1" applyFont="1" applyAlignment="1">
      <alignment horizontal="left" vertical="top" wrapText="1" indent="1" readingOrder="1"/>
    </xf>
    <xf numFmtId="0" fontId="73" fillId="0" borderId="0" xfId="1" applyFont="1" applyBorder="1" applyAlignment="1">
      <alignment horizontal="center" vertical="center" wrapText="1" readingOrder="2"/>
    </xf>
    <xf numFmtId="0" fontId="83" fillId="0" borderId="0" xfId="1" applyFont="1" applyAlignment="1">
      <alignment horizontal="right" vertical="center" readingOrder="2"/>
    </xf>
    <xf numFmtId="0" fontId="1" fillId="3" borderId="81" xfId="1" applyFont="1" applyFill="1" applyBorder="1" applyAlignment="1">
      <alignment horizontal="center" vertical="center" wrapText="1" readingOrder="1"/>
    </xf>
    <xf numFmtId="0" fontId="27" fillId="3" borderId="81" xfId="1" applyFont="1" applyFill="1" applyBorder="1" applyAlignment="1">
      <alignment horizontal="left" vertical="center" wrapText="1" readingOrder="1"/>
    </xf>
    <xf numFmtId="0" fontId="84" fillId="3" borderId="81" xfId="1" applyFont="1" applyFill="1" applyBorder="1" applyAlignment="1">
      <alignment horizontal="right" vertical="center" wrapText="1" readingOrder="2"/>
    </xf>
    <xf numFmtId="0" fontId="83" fillId="3" borderId="81" xfId="1" applyFont="1" applyFill="1" applyBorder="1" applyAlignment="1">
      <alignment horizontal="center" vertical="center" wrapText="1" readingOrder="2"/>
    </xf>
    <xf numFmtId="0" fontId="85" fillId="3" borderId="81" xfId="1" applyFont="1" applyFill="1" applyBorder="1" applyAlignment="1">
      <alignment horizontal="right" vertical="center" wrapText="1" readingOrder="2"/>
    </xf>
    <xf numFmtId="0" fontId="1" fillId="3" borderId="81" xfId="1" applyFont="1" applyFill="1" applyBorder="1" applyAlignment="1">
      <alignment horizontal="left" vertical="center" wrapText="1" readingOrder="1"/>
    </xf>
    <xf numFmtId="0" fontId="17" fillId="3" borderId="81" xfId="1" applyFont="1" applyFill="1" applyBorder="1" applyAlignment="1">
      <alignment horizontal="center" vertical="center" wrapText="1" readingOrder="1"/>
    </xf>
    <xf numFmtId="0" fontId="84" fillId="3" borderId="81" xfId="1" applyFont="1" applyFill="1" applyBorder="1" applyAlignment="1">
      <alignment horizontal="center" vertical="center" wrapText="1" readingOrder="2"/>
    </xf>
    <xf numFmtId="0" fontId="84" fillId="0" borderId="0" xfId="1" applyFont="1" applyAlignment="1">
      <alignment vertical="center" wrapText="1" readingOrder="2"/>
    </xf>
    <xf numFmtId="0" fontId="86" fillId="0" borderId="0" xfId="1" applyFont="1" applyAlignment="1">
      <alignment vertical="center" readingOrder="2"/>
    </xf>
    <xf numFmtId="0" fontId="88" fillId="0" borderId="84" xfId="0" applyFont="1" applyBorder="1" applyAlignment="1">
      <alignment horizontal="left" vertical="center" wrapText="1" indent="1"/>
    </xf>
    <xf numFmtId="0" fontId="88" fillId="7" borderId="85" xfId="0" applyFont="1" applyFill="1" applyBorder="1" applyAlignment="1">
      <alignment horizontal="left" vertical="center" wrapText="1" indent="1"/>
    </xf>
    <xf numFmtId="0" fontId="88" fillId="0" borderId="85" xfId="0" applyFont="1" applyBorder="1" applyAlignment="1">
      <alignment horizontal="left" vertical="center" wrapText="1" indent="1"/>
    </xf>
    <xf numFmtId="0" fontId="88" fillId="7" borderId="61" xfId="0" applyFont="1" applyFill="1" applyBorder="1" applyAlignment="1">
      <alignment horizontal="left" vertical="center" wrapText="1" indent="1"/>
    </xf>
    <xf numFmtId="0" fontId="88" fillId="0" borderId="62" xfId="0" applyFont="1" applyBorder="1" applyAlignment="1">
      <alignment horizontal="left" vertical="center" wrapText="1" indent="1"/>
    </xf>
    <xf numFmtId="0" fontId="88" fillId="7" borderId="0" xfId="0" applyFont="1" applyFill="1" applyAlignment="1">
      <alignment horizontal="left" vertical="center" wrapText="1" indent="1"/>
    </xf>
    <xf numFmtId="0" fontId="88" fillId="0" borderId="0" xfId="0" applyFont="1" applyAlignment="1">
      <alignment horizontal="left" vertical="center" wrapText="1" indent="1"/>
    </xf>
    <xf numFmtId="1" fontId="14" fillId="6" borderId="46" xfId="0" applyNumberFormat="1" applyFont="1" applyFill="1" applyBorder="1" applyAlignment="1" applyProtection="1">
      <alignment horizontal="center" vertical="center"/>
    </xf>
    <xf numFmtId="1" fontId="14" fillId="6" borderId="47" xfId="0" applyNumberFormat="1" applyFont="1" applyFill="1" applyBorder="1" applyAlignment="1" applyProtection="1">
      <alignment horizontal="center" vertical="center"/>
    </xf>
    <xf numFmtId="1" fontId="14" fillId="3" borderId="47" xfId="0" applyNumberFormat="1" applyFont="1" applyFill="1" applyBorder="1" applyAlignment="1" applyProtection="1">
      <alignment horizontal="center" vertical="center"/>
    </xf>
    <xf numFmtId="1" fontId="14" fillId="6" borderId="48" xfId="0" applyNumberFormat="1" applyFont="1" applyFill="1" applyBorder="1" applyAlignment="1" applyProtection="1">
      <alignment horizontal="center" vertical="center"/>
    </xf>
    <xf numFmtId="0" fontId="14" fillId="3" borderId="12" xfId="17" applyFont="1" applyFill="1" applyBorder="1" applyAlignment="1">
      <alignment horizontal="center" vertical="center" wrapText="1" readingOrder="1"/>
    </xf>
    <xf numFmtId="3" fontId="39" fillId="3" borderId="28" xfId="1" applyNumberFormat="1" applyFont="1" applyFill="1" applyBorder="1" applyAlignment="1">
      <alignment horizontal="right" vertical="center" indent="1" readingOrder="1"/>
    </xf>
    <xf numFmtId="1" fontId="1" fillId="6" borderId="86" xfId="0" applyNumberFormat="1" applyFont="1" applyFill="1" applyBorder="1" applyAlignment="1" applyProtection="1">
      <alignment horizontal="center" vertical="center"/>
    </xf>
    <xf numFmtId="0" fontId="4" fillId="0" borderId="89" xfId="17" applyFont="1" applyFill="1" applyBorder="1" applyAlignment="1">
      <alignment horizontal="center" vertical="center" wrapText="1" readingOrder="2"/>
    </xf>
    <xf numFmtId="164" fontId="1" fillId="0" borderId="87" xfId="18" applyNumberFormat="1" applyFont="1" applyFill="1" applyBorder="1">
      <alignment horizontal="right" vertical="center" indent="1"/>
    </xf>
    <xf numFmtId="0" fontId="14" fillId="0" borderId="88" xfId="17" applyFont="1" applyFill="1" applyBorder="1" applyAlignment="1">
      <alignment horizontal="center" vertical="center" wrapText="1" readingOrder="1"/>
    </xf>
    <xf numFmtId="1" fontId="1" fillId="0" borderId="87" xfId="18" applyNumberFormat="1" applyFont="1" applyFill="1" applyBorder="1">
      <alignment horizontal="right" vertical="center" indent="1"/>
    </xf>
    <xf numFmtId="3" fontId="1" fillId="0" borderId="87" xfId="18" applyNumberFormat="1" applyFont="1" applyFill="1" applyBorder="1">
      <alignment horizontal="right" vertical="center" indent="1"/>
    </xf>
    <xf numFmtId="164" fontId="1" fillId="0" borderId="87" xfId="16" applyNumberFormat="1" applyFont="1" applyFill="1" applyBorder="1">
      <alignment horizontal="right" vertical="center" indent="1"/>
    </xf>
    <xf numFmtId="3" fontId="14" fillId="0" borderId="87" xfId="18" applyNumberFormat="1" applyFont="1" applyFill="1" applyBorder="1">
      <alignment horizontal="right" vertical="center" indent="1"/>
    </xf>
    <xf numFmtId="164" fontId="14" fillId="0" borderId="87" xfId="16" applyNumberFormat="1" applyFont="1" applyFill="1" applyBorder="1">
      <alignment horizontal="right" vertical="center" indent="1"/>
    </xf>
    <xf numFmtId="0" fontId="4" fillId="3" borderId="16" xfId="1" applyFont="1" applyFill="1" applyBorder="1" applyAlignment="1">
      <alignment horizontal="center" vertical="center" wrapText="1" readingOrder="2"/>
    </xf>
    <xf numFmtId="0" fontId="4" fillId="3" borderId="16" xfId="1" applyFont="1" applyFill="1" applyBorder="1" applyAlignment="1">
      <alignment horizontal="center" vertical="center" wrapText="1" readingOrder="2"/>
    </xf>
    <xf numFmtId="0" fontId="1" fillId="3" borderId="18" xfId="1" applyFont="1" applyFill="1" applyBorder="1" applyAlignment="1">
      <alignment horizontal="left" vertical="center" wrapText="1" indent="1" readingOrder="1"/>
    </xf>
    <xf numFmtId="0" fontId="1" fillId="6" borderId="18" xfId="1" applyFont="1" applyFill="1" applyBorder="1" applyAlignment="1">
      <alignment horizontal="left" vertical="center" wrapText="1" indent="1" readingOrder="1"/>
    </xf>
    <xf numFmtId="0" fontId="1" fillId="3" borderId="21" xfId="1" applyFont="1" applyFill="1" applyBorder="1" applyAlignment="1">
      <alignment horizontal="left" vertical="center" wrapText="1" indent="1" readingOrder="1"/>
    </xf>
    <xf numFmtId="0" fontId="1" fillId="6" borderId="15" xfId="1" applyFont="1" applyFill="1" applyBorder="1" applyAlignment="1">
      <alignment horizontal="left" vertical="center" wrapText="1" indent="1" readingOrder="1"/>
    </xf>
    <xf numFmtId="0" fontId="1" fillId="3" borderId="12" xfId="1" applyFont="1" applyFill="1" applyBorder="1" applyAlignment="1">
      <alignment horizontal="left" vertical="center" wrapText="1" indent="1" readingOrder="1"/>
    </xf>
    <xf numFmtId="3" fontId="0" fillId="0" borderId="0" xfId="0" applyNumberFormat="1"/>
    <xf numFmtId="49" fontId="1" fillId="0" borderId="0" xfId="1" applyNumberFormat="1" applyFont="1" applyAlignment="1">
      <alignment vertical="center"/>
    </xf>
    <xf numFmtId="49" fontId="4" fillId="6" borderId="14" xfId="17" applyNumberFormat="1" applyFont="1" applyFill="1" applyBorder="1" applyAlignment="1">
      <alignment horizontal="center" vertical="center" wrapText="1" readingOrder="2"/>
    </xf>
    <xf numFmtId="49" fontId="4" fillId="0" borderId="17" xfId="17" applyNumberFormat="1" applyFont="1" applyFill="1" applyBorder="1" applyAlignment="1">
      <alignment horizontal="center" vertical="center" wrapText="1" readingOrder="2"/>
    </xf>
    <xf numFmtId="0" fontId="31" fillId="0" borderId="17" xfId="0" applyFont="1" applyBorder="1" applyAlignment="1">
      <alignment horizontal="right" vertical="center" indent="1"/>
    </xf>
    <xf numFmtId="0" fontId="39" fillId="0" borderId="17" xfId="0" applyFont="1" applyBorder="1" applyAlignment="1">
      <alignment horizontal="right" vertical="center" indent="1"/>
    </xf>
    <xf numFmtId="49" fontId="4" fillId="6" borderId="17" xfId="17" applyNumberFormat="1" applyFont="1" applyFill="1" applyBorder="1" applyAlignment="1">
      <alignment horizontal="center" vertical="center" wrapText="1" readingOrder="2"/>
    </xf>
    <xf numFmtId="0" fontId="31" fillId="6" borderId="17" xfId="0" applyFont="1" applyFill="1" applyBorder="1" applyAlignment="1">
      <alignment horizontal="right" vertical="center" indent="1"/>
    </xf>
    <xf numFmtId="0" fontId="39" fillId="6" borderId="17" xfId="0" applyFont="1" applyFill="1" applyBorder="1" applyAlignment="1">
      <alignment horizontal="right" vertical="center" indent="1"/>
    </xf>
    <xf numFmtId="49" fontId="4" fillId="6" borderId="20" xfId="17" applyNumberFormat="1" applyFont="1" applyFill="1" applyBorder="1" applyAlignment="1">
      <alignment horizontal="center" vertical="center" wrapText="1" readingOrder="2"/>
    </xf>
    <xf numFmtId="3" fontId="1" fillId="6" borderId="20" xfId="1" applyNumberFormat="1" applyFont="1" applyFill="1" applyBorder="1" applyAlignment="1">
      <alignment horizontal="right" vertical="center" indent="1" readingOrder="1"/>
    </xf>
    <xf numFmtId="3" fontId="14" fillId="6" borderId="20" xfId="1" applyNumberFormat="1" applyFont="1" applyFill="1" applyBorder="1" applyAlignment="1">
      <alignment horizontal="right" vertical="center" indent="1" readingOrder="1"/>
    </xf>
    <xf numFmtId="49" fontId="4" fillId="6" borderId="13" xfId="17" applyNumberFormat="1" applyFont="1" applyFill="1" applyBorder="1" applyAlignment="1">
      <alignment horizontal="center" vertical="center" wrapText="1" readingOrder="2"/>
    </xf>
    <xf numFmtId="49" fontId="4" fillId="0" borderId="16" xfId="17" applyNumberFormat="1" applyFont="1" applyFill="1" applyBorder="1" applyAlignment="1">
      <alignment horizontal="center" vertical="center" wrapText="1" readingOrder="2"/>
    </xf>
    <xf numFmtId="49" fontId="14" fillId="0" borderId="18" xfId="17" applyNumberFormat="1" applyFont="1" applyFill="1" applyBorder="1" applyAlignment="1">
      <alignment horizontal="center" vertical="center" wrapText="1" readingOrder="1"/>
    </xf>
    <xf numFmtId="49" fontId="4" fillId="6" borderId="16" xfId="17" applyNumberFormat="1" applyFont="1" applyFill="1" applyBorder="1" applyAlignment="1">
      <alignment horizontal="center" vertical="center" wrapText="1" readingOrder="2"/>
    </xf>
    <xf numFmtId="49" fontId="14" fillId="6" borderId="18" xfId="17" applyNumberFormat="1" applyFont="1" applyFill="1" applyBorder="1" applyAlignment="1">
      <alignment horizontal="center" vertical="center" wrapText="1" readingOrder="1"/>
    </xf>
    <xf numFmtId="49" fontId="4" fillId="6" borderId="19" xfId="17" applyNumberFormat="1" applyFont="1" applyFill="1" applyBorder="1" applyAlignment="1">
      <alignment horizontal="center" vertical="center" wrapText="1" readingOrder="2"/>
    </xf>
    <xf numFmtId="49" fontId="14" fillId="6" borderId="21" xfId="17" applyNumberFormat="1" applyFont="1" applyFill="1" applyBorder="1" applyAlignment="1">
      <alignment horizontal="center" vertical="center" wrapText="1" readingOrder="1"/>
    </xf>
    <xf numFmtId="165" fontId="14" fillId="6" borderId="87" xfId="1" applyNumberFormat="1" applyFont="1" applyFill="1" applyBorder="1" applyAlignment="1">
      <alignment horizontal="right" vertical="center" indent="1" readingOrder="1"/>
    </xf>
    <xf numFmtId="3" fontId="39" fillId="6" borderId="89" xfId="1" applyNumberFormat="1" applyFont="1" applyFill="1" applyBorder="1" applyAlignment="1">
      <alignment horizontal="right" vertical="center" indent="1" readingOrder="1"/>
    </xf>
    <xf numFmtId="165" fontId="39" fillId="6" borderId="89" xfId="1" applyNumberFormat="1" applyFont="1" applyFill="1" applyBorder="1" applyAlignment="1">
      <alignment horizontal="right" vertical="center" indent="1" readingOrder="1"/>
    </xf>
    <xf numFmtId="49" fontId="16" fillId="0" borderId="0" xfId="1" applyNumberFormat="1" applyFont="1" applyAlignment="1">
      <alignment vertical="center"/>
    </xf>
    <xf numFmtId="0" fontId="16" fillId="0" borderId="0" xfId="1" applyFont="1" applyAlignment="1">
      <alignment vertical="center"/>
    </xf>
    <xf numFmtId="0" fontId="16" fillId="0" borderId="0" xfId="1" applyFont="1" applyAlignment="1">
      <alignment horizontal="right" vertical="center" readingOrder="2"/>
    </xf>
    <xf numFmtId="164" fontId="14" fillId="3" borderId="63" xfId="1" applyNumberFormat="1" applyFont="1" applyFill="1" applyBorder="1" applyAlignment="1">
      <alignment horizontal="right" vertical="center" indent="1" readingOrder="1"/>
    </xf>
    <xf numFmtId="0" fontId="4" fillId="0" borderId="13" xfId="1" applyFont="1" applyFill="1" applyBorder="1" applyAlignment="1">
      <alignment horizontal="center" vertical="center" wrapText="1" readingOrder="2"/>
    </xf>
    <xf numFmtId="0" fontId="4" fillId="0" borderId="16" xfId="1" applyFont="1" applyFill="1" applyBorder="1" applyAlignment="1">
      <alignment horizontal="center" vertical="center" wrapText="1" readingOrder="2"/>
    </xf>
    <xf numFmtId="0" fontId="4" fillId="0" borderId="19" xfId="1" applyFont="1" applyFill="1" applyBorder="1" applyAlignment="1">
      <alignment horizontal="center" vertical="center" wrapText="1" readingOrder="2"/>
    </xf>
    <xf numFmtId="0" fontId="1" fillId="3" borderId="18" xfId="1" applyFont="1" applyFill="1" applyBorder="1" applyAlignment="1">
      <alignment horizontal="center" vertical="center" wrapText="1" readingOrder="1"/>
    </xf>
    <xf numFmtId="0" fontId="1" fillId="0" borderId="18" xfId="1" applyFont="1" applyFill="1" applyBorder="1" applyAlignment="1">
      <alignment horizontal="center" vertical="center" wrapText="1" readingOrder="1"/>
    </xf>
    <xf numFmtId="0" fontId="1" fillId="0" borderId="21" xfId="1" applyFont="1" applyFill="1" applyBorder="1" applyAlignment="1">
      <alignment horizontal="center" vertical="center" wrapText="1" readingOrder="1"/>
    </xf>
    <xf numFmtId="0" fontId="1" fillId="0" borderId="86" xfId="1" applyFont="1" applyFill="1" applyBorder="1" applyAlignment="1">
      <alignment horizontal="right" vertical="center" indent="1" readingOrder="1"/>
    </xf>
    <xf numFmtId="0" fontId="1" fillId="0" borderId="87" xfId="1" applyFont="1" applyFill="1" applyBorder="1" applyAlignment="1">
      <alignment horizontal="right" vertical="center" indent="1" readingOrder="1"/>
    </xf>
    <xf numFmtId="0" fontId="14" fillId="0" borderId="86" xfId="1" applyFont="1" applyFill="1" applyBorder="1" applyAlignment="1">
      <alignment horizontal="right" vertical="center" indent="1" readingOrder="1"/>
    </xf>
    <xf numFmtId="164" fontId="14" fillId="0" borderId="87" xfId="1" applyNumberFormat="1" applyFont="1" applyFill="1" applyBorder="1" applyAlignment="1">
      <alignment horizontal="right" vertical="center" indent="1" readingOrder="1"/>
    </xf>
    <xf numFmtId="0" fontId="1" fillId="0" borderId="9" xfId="1" applyFont="1" applyFill="1" applyBorder="1" applyAlignment="1">
      <alignment horizontal="center" vertical="center" wrapText="1" readingOrder="1"/>
    </xf>
    <xf numFmtId="0" fontId="1" fillId="0" borderId="12" xfId="1" applyFont="1" applyFill="1" applyBorder="1" applyAlignment="1">
      <alignment horizontal="center" vertical="center" wrapText="1" readingOrder="1"/>
    </xf>
    <xf numFmtId="0" fontId="14" fillId="3" borderId="87" xfId="1" applyFont="1" applyFill="1" applyBorder="1" applyAlignment="1">
      <alignment horizontal="right" vertical="center" indent="1" readingOrder="1"/>
    </xf>
    <xf numFmtId="164" fontId="14" fillId="0" borderId="89" xfId="1" applyNumberFormat="1" applyFont="1" applyFill="1" applyBorder="1" applyAlignment="1">
      <alignment horizontal="right" vertical="center" indent="1" readingOrder="1"/>
    </xf>
    <xf numFmtId="3" fontId="31" fillId="0" borderId="14" xfId="34" applyNumberFormat="1" applyFont="1" applyBorder="1" applyAlignment="1">
      <alignment horizontal="right" vertical="center" indent="1"/>
    </xf>
    <xf numFmtId="3" fontId="39" fillId="0" borderId="14" xfId="34" applyNumberFormat="1" applyFont="1" applyBorder="1" applyAlignment="1">
      <alignment horizontal="right" vertical="center" indent="1"/>
    </xf>
    <xf numFmtId="3" fontId="31" fillId="0" borderId="17" xfId="34" applyNumberFormat="1" applyFont="1" applyBorder="1" applyAlignment="1">
      <alignment horizontal="right" vertical="center" indent="1"/>
    </xf>
    <xf numFmtId="3" fontId="39" fillId="0" borderId="17" xfId="34" applyNumberFormat="1" applyFont="1" applyBorder="1" applyAlignment="1">
      <alignment horizontal="right" vertical="center" indent="1"/>
    </xf>
    <xf numFmtId="3" fontId="31" fillId="3" borderId="17" xfId="34" applyNumberFormat="1" applyFont="1" applyFill="1" applyBorder="1" applyAlignment="1">
      <alignment horizontal="right" vertical="center" indent="1"/>
    </xf>
    <xf numFmtId="3" fontId="39" fillId="3" borderId="17" xfId="34" applyNumberFormat="1" applyFont="1" applyFill="1" applyBorder="1" applyAlignment="1">
      <alignment horizontal="right" vertical="center" indent="1"/>
    </xf>
    <xf numFmtId="3" fontId="31" fillId="0" borderId="20" xfId="34" applyNumberFormat="1" applyFont="1" applyBorder="1" applyAlignment="1">
      <alignment horizontal="right" vertical="center" indent="1"/>
    </xf>
    <xf numFmtId="3" fontId="39" fillId="0" borderId="20" xfId="34" applyNumberFormat="1" applyFont="1" applyBorder="1" applyAlignment="1">
      <alignment horizontal="right" vertical="center" indent="1"/>
    </xf>
    <xf numFmtId="3" fontId="39" fillId="3" borderId="8" xfId="34" applyNumberFormat="1" applyFont="1" applyFill="1" applyBorder="1" applyAlignment="1">
      <alignment horizontal="right" vertical="center" indent="1"/>
    </xf>
    <xf numFmtId="3" fontId="39" fillId="3" borderId="11" xfId="34" applyNumberFormat="1" applyFont="1" applyFill="1" applyBorder="1" applyAlignment="1">
      <alignment horizontal="right" vertical="center" indent="1"/>
    </xf>
    <xf numFmtId="3" fontId="14" fillId="0" borderId="87" xfId="16" applyNumberFormat="1" applyFont="1" applyFill="1" applyBorder="1">
      <alignment horizontal="right" vertical="center" indent="1"/>
    </xf>
    <xf numFmtId="164" fontId="14" fillId="3" borderId="65" xfId="17" applyNumberFormat="1" applyFont="1" applyFill="1" applyBorder="1" applyAlignment="1">
      <alignment horizontal="left" vertical="center" wrapText="1" indent="1" readingOrder="1"/>
    </xf>
    <xf numFmtId="3" fontId="31" fillId="6" borderId="89" xfId="1" applyNumberFormat="1" applyFont="1" applyFill="1" applyBorder="1" applyAlignment="1">
      <alignment horizontal="right" vertical="center" indent="1" readingOrder="1"/>
    </xf>
    <xf numFmtId="3" fontId="31" fillId="6" borderId="87" xfId="1" applyNumberFormat="1" applyFont="1" applyFill="1" applyBorder="1" applyAlignment="1">
      <alignment horizontal="right" vertical="center" indent="1" readingOrder="1"/>
    </xf>
    <xf numFmtId="3" fontId="31" fillId="6" borderId="88" xfId="1" applyNumberFormat="1" applyFont="1" applyFill="1" applyBorder="1" applyAlignment="1">
      <alignment horizontal="right" vertical="center" indent="1" readingOrder="1"/>
    </xf>
    <xf numFmtId="3" fontId="39" fillId="6" borderId="88" xfId="1" applyNumberFormat="1" applyFont="1" applyFill="1" applyBorder="1" applyAlignment="1">
      <alignment horizontal="right" vertical="center" indent="1" readingOrder="1"/>
    </xf>
    <xf numFmtId="164" fontId="14" fillId="0" borderId="89" xfId="18" applyNumberFormat="1" applyFont="1" applyFill="1" applyBorder="1" applyAlignment="1">
      <alignment horizontal="right" vertical="center" indent="1"/>
    </xf>
    <xf numFmtId="3" fontId="31" fillId="3" borderId="89" xfId="1" applyNumberFormat="1" applyFont="1" applyFill="1" applyBorder="1" applyAlignment="1">
      <alignment horizontal="right" vertical="center" indent="1" readingOrder="1"/>
    </xf>
    <xf numFmtId="3" fontId="31" fillId="3" borderId="87" xfId="1" applyNumberFormat="1" applyFont="1" applyFill="1" applyBorder="1" applyAlignment="1">
      <alignment horizontal="right" vertical="center" indent="1" readingOrder="1"/>
    </xf>
    <xf numFmtId="3" fontId="31" fillId="3" borderId="88" xfId="1" applyNumberFormat="1" applyFont="1" applyFill="1" applyBorder="1" applyAlignment="1">
      <alignment horizontal="right" vertical="center" indent="1" readingOrder="1"/>
    </xf>
    <xf numFmtId="3" fontId="39" fillId="3" borderId="88" xfId="1" applyNumberFormat="1" applyFont="1" applyFill="1" applyBorder="1" applyAlignment="1">
      <alignment horizontal="right" vertical="center" indent="1" readingOrder="1"/>
    </xf>
    <xf numFmtId="164" fontId="14" fillId="3" borderId="89" xfId="18" applyNumberFormat="1" applyFont="1" applyFill="1" applyBorder="1" applyAlignment="1">
      <alignment horizontal="right" vertical="center" indent="1"/>
    </xf>
    <xf numFmtId="3" fontId="31" fillId="3" borderId="64" xfId="1" applyNumberFormat="1" applyFont="1" applyFill="1" applyBorder="1" applyAlignment="1">
      <alignment horizontal="right" vertical="center" indent="1" readingOrder="1"/>
    </xf>
    <xf numFmtId="3" fontId="31" fillId="3" borderId="65" xfId="1" applyNumberFormat="1" applyFont="1" applyFill="1" applyBorder="1" applyAlignment="1">
      <alignment horizontal="right" vertical="center" indent="1" readingOrder="1"/>
    </xf>
    <xf numFmtId="3" fontId="31" fillId="3" borderId="66" xfId="1" applyNumberFormat="1" applyFont="1" applyFill="1" applyBorder="1" applyAlignment="1">
      <alignment horizontal="right" vertical="center" indent="1" readingOrder="1"/>
    </xf>
    <xf numFmtId="3" fontId="39" fillId="3" borderId="67" xfId="1" applyNumberFormat="1" applyFont="1" applyFill="1" applyBorder="1" applyAlignment="1">
      <alignment horizontal="right" vertical="center" indent="1" readingOrder="1"/>
    </xf>
    <xf numFmtId="164" fontId="14" fillId="3" borderId="64" xfId="18" applyNumberFormat="1" applyFont="1" applyFill="1" applyBorder="1" applyAlignment="1">
      <alignment horizontal="right" vertical="center" indent="1"/>
    </xf>
    <xf numFmtId="3" fontId="39" fillId="6" borderId="87" xfId="1" applyNumberFormat="1" applyFont="1" applyFill="1" applyBorder="1" applyAlignment="1">
      <alignment horizontal="right" vertical="center" indent="1" readingOrder="1"/>
    </xf>
    <xf numFmtId="3" fontId="39" fillId="6" borderId="63" xfId="1" applyNumberFormat="1" applyFont="1" applyFill="1" applyBorder="1" applyAlignment="1">
      <alignment horizontal="right" vertical="center" indent="1" readingOrder="1"/>
    </xf>
    <xf numFmtId="3" fontId="39" fillId="6" borderId="67" xfId="1" applyNumberFormat="1" applyFont="1" applyFill="1" applyBorder="1" applyAlignment="1">
      <alignment horizontal="right" vertical="center" indent="1" readingOrder="1"/>
    </xf>
    <xf numFmtId="164" fontId="14" fillId="0" borderId="64" xfId="18" applyNumberFormat="1" applyFont="1" applyFill="1" applyBorder="1" applyAlignment="1">
      <alignment horizontal="right" vertical="center" indent="1"/>
    </xf>
    <xf numFmtId="3" fontId="14" fillId="6" borderId="65" xfId="1" applyNumberFormat="1" applyFont="1" applyFill="1" applyBorder="1" applyAlignment="1">
      <alignment horizontal="right" vertical="center" indent="1" readingOrder="1"/>
    </xf>
    <xf numFmtId="0" fontId="4" fillId="0" borderId="13" xfId="1" applyFont="1" applyFill="1" applyBorder="1" applyAlignment="1">
      <alignment horizontal="right" vertical="center" wrapText="1" indent="1" readingOrder="2"/>
    </xf>
    <xf numFmtId="0" fontId="4" fillId="0" borderId="13" xfId="1" applyFont="1" applyFill="1" applyBorder="1" applyAlignment="1">
      <alignment horizontal="right" vertical="center" indent="1" readingOrder="1"/>
    </xf>
    <xf numFmtId="0" fontId="1" fillId="0" borderId="37" xfId="17" applyFont="1" applyFill="1" applyBorder="1" applyAlignment="1">
      <alignment horizontal="left" vertical="center" wrapText="1" indent="1" readingOrder="1"/>
    </xf>
    <xf numFmtId="3" fontId="1" fillId="0" borderId="89" xfId="1" applyNumberFormat="1" applyFont="1" applyFill="1" applyBorder="1" applyAlignment="1">
      <alignment horizontal="right" vertical="center" indent="1" readingOrder="1"/>
    </xf>
    <xf numFmtId="3" fontId="1" fillId="0" borderId="87" xfId="1" applyNumberFormat="1" applyFont="1" applyFill="1" applyBorder="1" applyAlignment="1">
      <alignment horizontal="right" vertical="center" indent="1" readingOrder="1"/>
    </xf>
    <xf numFmtId="3" fontId="14" fillId="0" borderId="88" xfId="18" applyNumberFormat="1" applyFont="1" applyFill="1" applyBorder="1">
      <alignment horizontal="right" vertical="center" indent="1"/>
    </xf>
    <xf numFmtId="164" fontId="14" fillId="0" borderId="87" xfId="18" applyNumberFormat="1" applyFont="1" applyFill="1" applyBorder="1">
      <alignment horizontal="right" vertical="center" indent="1"/>
    </xf>
    <xf numFmtId="3" fontId="1" fillId="0" borderId="13" xfId="1" applyNumberFormat="1" applyFont="1" applyFill="1" applyBorder="1" applyAlignment="1">
      <alignment horizontal="right" vertical="center" indent="1" readingOrder="1"/>
    </xf>
    <xf numFmtId="3" fontId="1" fillId="0" borderId="39" xfId="1" applyNumberFormat="1" applyFont="1" applyFill="1" applyBorder="1" applyAlignment="1">
      <alignment horizontal="right" vertical="center" indent="1" readingOrder="1"/>
    </xf>
    <xf numFmtId="164" fontId="14" fillId="6" borderId="63" xfId="17" applyNumberFormat="1" applyFont="1" applyFill="1" applyBorder="1" applyAlignment="1">
      <alignment horizontal="left" vertical="center" wrapText="1" indent="1" readingOrder="1"/>
    </xf>
    <xf numFmtId="0" fontId="31" fillId="0" borderId="90" xfId="0" applyFont="1" applyBorder="1" applyAlignment="1">
      <alignment horizontal="left" vertical="center" wrapText="1" indent="1"/>
    </xf>
    <xf numFmtId="0" fontId="4" fillId="0" borderId="7" xfId="1" applyFont="1" applyFill="1" applyBorder="1" applyAlignment="1">
      <alignment horizontal="right" vertical="center" wrapText="1" indent="1" readingOrder="2"/>
    </xf>
    <xf numFmtId="0" fontId="4" fillId="3" borderId="16" xfId="1" applyFont="1" applyFill="1" applyBorder="1" applyAlignment="1">
      <alignment horizontal="right" vertical="center" wrapText="1" indent="1" readingOrder="2"/>
    </xf>
    <xf numFmtId="0" fontId="4" fillId="0" borderId="16" xfId="1" applyFont="1" applyFill="1" applyBorder="1" applyAlignment="1">
      <alignment horizontal="right" vertical="center" wrapText="1" indent="1" readingOrder="2"/>
    </xf>
    <xf numFmtId="0" fontId="7" fillId="3" borderId="65" xfId="1" applyFont="1" applyFill="1" applyBorder="1" applyAlignment="1">
      <alignment horizontal="center" vertical="center" wrapText="1"/>
    </xf>
    <xf numFmtId="0" fontId="15" fillId="3" borderId="65" xfId="1" applyFont="1" applyFill="1" applyBorder="1" applyAlignment="1">
      <alignment horizontal="center" vertical="center" wrapText="1"/>
    </xf>
    <xf numFmtId="0" fontId="4" fillId="6" borderId="89" xfId="17" applyFont="1" applyFill="1" applyBorder="1" applyAlignment="1">
      <alignment horizontal="center" vertical="center" wrapText="1" readingOrder="2"/>
    </xf>
    <xf numFmtId="3" fontId="14" fillId="6" borderId="14" xfId="17" applyNumberFormat="1" applyFont="1" applyFill="1" applyBorder="1" applyAlignment="1">
      <alignment horizontal="left" vertical="center" wrapText="1" indent="1" readingOrder="1"/>
    </xf>
    <xf numFmtId="164" fontId="14" fillId="6" borderId="87" xfId="17" applyNumberFormat="1" applyFont="1" applyFill="1" applyBorder="1" applyAlignment="1">
      <alignment horizontal="left" vertical="center" wrapText="1" indent="1" readingOrder="1"/>
    </xf>
    <xf numFmtId="0" fontId="14" fillId="6" borderId="88" xfId="17" applyFont="1" applyFill="1" applyBorder="1" applyAlignment="1">
      <alignment horizontal="center" vertical="center" wrapText="1" readingOrder="1"/>
    </xf>
    <xf numFmtId="164" fontId="14" fillId="3" borderId="11" xfId="17" applyNumberFormat="1" applyFont="1" applyFill="1" applyBorder="1" applyAlignment="1">
      <alignment horizontal="left" vertical="center" wrapText="1" indent="1" readingOrder="1"/>
    </xf>
    <xf numFmtId="0" fontId="4" fillId="3" borderId="19" xfId="1" applyFont="1" applyFill="1" applyBorder="1" applyAlignment="1">
      <alignment horizontal="right" vertical="center" wrapText="1" indent="1" readingOrder="2"/>
    </xf>
    <xf numFmtId="0" fontId="1" fillId="0" borderId="39" xfId="1" applyFont="1" applyFill="1" applyBorder="1" applyAlignment="1">
      <alignment horizontal="right" vertical="center" indent="1" readingOrder="1"/>
    </xf>
    <xf numFmtId="0" fontId="4" fillId="3" borderId="10" xfId="1" applyFont="1" applyFill="1" applyBorder="1" applyAlignment="1">
      <alignment horizontal="right" vertical="center" wrapText="1" indent="1" readingOrder="2"/>
    </xf>
    <xf numFmtId="0" fontId="1" fillId="0" borderId="89" xfId="1" applyFont="1" applyFill="1" applyBorder="1" applyAlignment="1">
      <alignment horizontal="right" vertical="center" indent="1" readingOrder="1"/>
    </xf>
    <xf numFmtId="0" fontId="14" fillId="0" borderId="88" xfId="1" applyFont="1" applyFill="1" applyBorder="1" applyAlignment="1">
      <alignment horizontal="right" vertical="center" indent="1" readingOrder="1"/>
    </xf>
    <xf numFmtId="164" fontId="14" fillId="0" borderId="88" xfId="1" applyNumberFormat="1" applyFont="1" applyFill="1" applyBorder="1" applyAlignment="1">
      <alignment horizontal="right" vertical="center" indent="1" readingOrder="1"/>
    </xf>
    <xf numFmtId="0" fontId="1" fillId="0" borderId="40" xfId="1" applyFont="1" applyFill="1" applyBorder="1" applyAlignment="1">
      <alignment horizontal="right" vertical="center" indent="1" readingOrder="1"/>
    </xf>
    <xf numFmtId="0" fontId="14" fillId="0" borderId="67" xfId="1" applyFont="1" applyFill="1" applyBorder="1" applyAlignment="1">
      <alignment horizontal="right" vertical="center" indent="1" readingOrder="1"/>
    </xf>
    <xf numFmtId="3" fontId="14" fillId="6" borderId="63" xfId="17" applyNumberFormat="1" applyFont="1" applyFill="1" applyBorder="1" applyAlignment="1">
      <alignment horizontal="left" vertical="center" wrapText="1" indent="1" readingOrder="1"/>
    </xf>
    <xf numFmtId="164" fontId="14" fillId="3" borderId="87" xfId="1" applyNumberFormat="1" applyFont="1" applyFill="1" applyBorder="1" applyAlignment="1">
      <alignment horizontal="right" vertical="center" indent="1" readingOrder="1"/>
    </xf>
    <xf numFmtId="0" fontId="4" fillId="0" borderId="39" xfId="1" applyFont="1" applyFill="1" applyBorder="1" applyAlignment="1">
      <alignment horizontal="center" vertical="center" wrapText="1" readingOrder="2"/>
    </xf>
    <xf numFmtId="0" fontId="1" fillId="0" borderId="37" xfId="1" applyFont="1" applyFill="1" applyBorder="1" applyAlignment="1">
      <alignment horizontal="center" vertical="center" wrapText="1" readingOrder="1"/>
    </xf>
    <xf numFmtId="0" fontId="1" fillId="0" borderId="41" xfId="1" applyFont="1" applyFill="1" applyBorder="1" applyAlignment="1">
      <alignment horizontal="center" vertical="center" wrapText="1" readingOrder="1"/>
    </xf>
    <xf numFmtId="0" fontId="4" fillId="0" borderId="89" xfId="1" applyFont="1" applyFill="1" applyBorder="1" applyAlignment="1">
      <alignment horizontal="center" vertical="center" wrapText="1" readingOrder="2"/>
    </xf>
    <xf numFmtId="0" fontId="1" fillId="0" borderId="17" xfId="1" applyFont="1" applyFill="1" applyBorder="1" applyAlignment="1">
      <alignment horizontal="right" vertical="center" indent="1" readingOrder="1"/>
    </xf>
    <xf numFmtId="0" fontId="1" fillId="0" borderId="20" xfId="1" applyFont="1" applyFill="1" applyBorder="1" applyAlignment="1">
      <alignment horizontal="right" vertical="center" indent="1" readingOrder="1"/>
    </xf>
    <xf numFmtId="3" fontId="1" fillId="0" borderId="20" xfId="1" applyNumberFormat="1" applyFont="1" applyFill="1" applyBorder="1" applyAlignment="1">
      <alignment horizontal="right" vertical="center" indent="1" readingOrder="1"/>
    </xf>
    <xf numFmtId="3" fontId="14" fillId="3" borderId="14" xfId="1" applyNumberFormat="1" applyFont="1" applyFill="1" applyBorder="1" applyAlignment="1">
      <alignment horizontal="right" vertical="center" indent="1" readingOrder="1"/>
    </xf>
    <xf numFmtId="0" fontId="4" fillId="0" borderId="39" xfId="1" applyFont="1" applyFill="1" applyBorder="1" applyAlignment="1">
      <alignment horizontal="right" vertical="center" wrapText="1" indent="1" readingOrder="2"/>
    </xf>
    <xf numFmtId="0" fontId="1" fillId="0" borderId="37" xfId="1" applyFont="1" applyFill="1" applyBorder="1" applyAlignment="1">
      <alignment horizontal="left" vertical="center" wrapText="1" indent="1" readingOrder="1"/>
    </xf>
    <xf numFmtId="0" fontId="14" fillId="3" borderId="63" xfId="1" applyFont="1" applyFill="1" applyBorder="1" applyAlignment="1">
      <alignment horizontal="center" wrapText="1" readingOrder="2"/>
    </xf>
    <xf numFmtId="0" fontId="4" fillId="0" borderId="45" xfId="1" applyFont="1" applyFill="1" applyBorder="1" applyAlignment="1">
      <alignment horizontal="right" vertical="center" wrapText="1" indent="1" readingOrder="2"/>
    </xf>
    <xf numFmtId="0" fontId="4" fillId="0" borderId="40" xfId="1" applyFont="1" applyFill="1" applyBorder="1" applyAlignment="1">
      <alignment horizontal="right" vertical="center" wrapText="1" indent="1" readingOrder="2"/>
    </xf>
    <xf numFmtId="0" fontId="1" fillId="0" borderId="63" xfId="1" applyFont="1" applyFill="1" applyBorder="1" applyAlignment="1">
      <alignment horizontal="right" vertical="center" indent="1" readingOrder="1"/>
    </xf>
    <xf numFmtId="0" fontId="1" fillId="0" borderId="67" xfId="1" applyFont="1" applyFill="1" applyBorder="1" applyAlignment="1">
      <alignment horizontal="right" vertical="center" indent="1" readingOrder="1"/>
    </xf>
    <xf numFmtId="0" fontId="14" fillId="0" borderId="63" xfId="1" applyFont="1" applyFill="1" applyBorder="1" applyAlignment="1">
      <alignment horizontal="right" vertical="center" indent="1" readingOrder="1"/>
    </xf>
    <xf numFmtId="0" fontId="14" fillId="0" borderId="38" xfId="1" applyFont="1" applyFill="1" applyBorder="1" applyAlignment="1">
      <alignment horizontal="right" vertical="center" indent="1" readingOrder="1"/>
    </xf>
    <xf numFmtId="0" fontId="1" fillId="0" borderId="41" xfId="1" applyFont="1" applyFill="1" applyBorder="1" applyAlignment="1">
      <alignment horizontal="right" vertical="center" indent="1" readingOrder="1"/>
    </xf>
    <xf numFmtId="0" fontId="14" fillId="0" borderId="65" xfId="1" applyFont="1" applyFill="1" applyBorder="1" applyAlignment="1">
      <alignment horizontal="right" vertical="center" indent="1" readingOrder="1"/>
    </xf>
    <xf numFmtId="0" fontId="31" fillId="0" borderId="0" xfId="22" applyFont="1" applyAlignment="1">
      <alignment horizontal="left" vertical="top"/>
    </xf>
    <xf numFmtId="0" fontId="31" fillId="0" borderId="0" xfId="22" applyFont="1" applyAlignment="1">
      <alignment horizontal="left" vertical="center"/>
    </xf>
    <xf numFmtId="0" fontId="15" fillId="0" borderId="0" xfId="13" applyFont="1" applyAlignment="1">
      <alignment horizontal="right" vertical="center" readingOrder="2"/>
    </xf>
    <xf numFmtId="0" fontId="14" fillId="0" borderId="87" xfId="1" applyFont="1" applyFill="1" applyBorder="1" applyAlignment="1">
      <alignment horizontal="right" vertical="center" indent="1" readingOrder="1"/>
    </xf>
    <xf numFmtId="0" fontId="1" fillId="0" borderId="18" xfId="1" applyFont="1" applyFill="1" applyBorder="1" applyAlignment="1">
      <alignment horizontal="right" vertical="center" indent="1" readingOrder="1"/>
    </xf>
    <xf numFmtId="0" fontId="14" fillId="0" borderId="17" xfId="1" applyFont="1" applyFill="1" applyBorder="1" applyAlignment="1">
      <alignment horizontal="right" vertical="center" indent="1" readingOrder="1"/>
    </xf>
    <xf numFmtId="0" fontId="1" fillId="0" borderId="47" xfId="1" applyFont="1" applyFill="1" applyBorder="1" applyAlignment="1">
      <alignment horizontal="right" vertical="center" indent="1" readingOrder="1"/>
    </xf>
    <xf numFmtId="0" fontId="1" fillId="0" borderId="11" xfId="1" applyFont="1" applyFill="1" applyBorder="1" applyAlignment="1">
      <alignment horizontal="right" vertical="center" indent="1" readingOrder="1"/>
    </xf>
    <xf numFmtId="0" fontId="1" fillId="0" borderId="12" xfId="1" applyFont="1" applyFill="1" applyBorder="1" applyAlignment="1">
      <alignment horizontal="right" vertical="center" indent="1" readingOrder="1"/>
    </xf>
    <xf numFmtId="0" fontId="14" fillId="0" borderId="11" xfId="1" applyFont="1" applyFill="1" applyBorder="1" applyAlignment="1">
      <alignment horizontal="right" vertical="center" indent="1" readingOrder="1"/>
    </xf>
    <xf numFmtId="0" fontId="14" fillId="0" borderId="48" xfId="1" applyFont="1" applyFill="1" applyBorder="1" applyAlignment="1">
      <alignment horizontal="right" vertical="center" indent="1" readingOrder="1"/>
    </xf>
    <xf numFmtId="0" fontId="14" fillId="3" borderId="65" xfId="1" applyFont="1" applyFill="1" applyBorder="1" applyAlignment="1">
      <alignment horizontal="center" vertical="center" wrapText="1" readingOrder="1"/>
    </xf>
    <xf numFmtId="0" fontId="31" fillId="6" borderId="87" xfId="1" applyFont="1" applyFill="1" applyBorder="1" applyAlignment="1">
      <alignment horizontal="left" vertical="center" wrapText="1" indent="1" readingOrder="1"/>
    </xf>
    <xf numFmtId="0" fontId="39" fillId="6" borderId="87" xfId="1" applyFont="1" applyFill="1" applyBorder="1" applyAlignment="1">
      <alignment horizontal="left" vertical="center" wrapText="1" indent="1" readingOrder="1"/>
    </xf>
    <xf numFmtId="164" fontId="14" fillId="6" borderId="87" xfId="1" applyNumberFormat="1" applyFont="1" applyFill="1" applyBorder="1" applyAlignment="1">
      <alignment horizontal="right" vertical="center" indent="1" readingOrder="1"/>
    </xf>
    <xf numFmtId="0" fontId="4" fillId="0" borderId="89" xfId="1" applyNumberFormat="1" applyFont="1" applyBorder="1" applyAlignment="1">
      <alignment horizontal="center" vertical="center" wrapText="1" readingOrder="2"/>
    </xf>
    <xf numFmtId="0" fontId="4" fillId="3" borderId="13" xfId="1" applyNumberFormat="1" applyFont="1" applyFill="1" applyBorder="1" applyAlignment="1">
      <alignment horizontal="center" vertical="center" wrapText="1" readingOrder="2"/>
    </xf>
    <xf numFmtId="0" fontId="4" fillId="0" borderId="13" xfId="1" applyNumberFormat="1" applyFont="1" applyBorder="1" applyAlignment="1">
      <alignment horizontal="center" vertical="center" wrapText="1" readingOrder="2"/>
    </xf>
    <xf numFmtId="0" fontId="4" fillId="3" borderId="40" xfId="1" applyNumberFormat="1" applyFont="1" applyFill="1" applyBorder="1" applyAlignment="1">
      <alignment horizontal="center" vertical="center" wrapText="1" readingOrder="2"/>
    </xf>
    <xf numFmtId="0" fontId="1" fillId="0" borderId="88" xfId="1" applyNumberFormat="1" applyFont="1" applyBorder="1" applyAlignment="1">
      <alignment horizontal="center" vertical="center" wrapText="1" readingOrder="1"/>
    </xf>
    <xf numFmtId="0" fontId="1" fillId="3" borderId="15" xfId="1" applyNumberFormat="1" applyFont="1" applyFill="1" applyBorder="1" applyAlignment="1">
      <alignment horizontal="center" vertical="center" wrapText="1" readingOrder="1"/>
    </xf>
    <xf numFmtId="0" fontId="1" fillId="0" borderId="15" xfId="1" applyNumberFormat="1" applyFont="1" applyBorder="1" applyAlignment="1">
      <alignment horizontal="center" vertical="center" wrapText="1" readingOrder="1"/>
    </xf>
    <xf numFmtId="0" fontId="1" fillId="3" borderId="41" xfId="1" applyNumberFormat="1" applyFont="1" applyFill="1" applyBorder="1" applyAlignment="1">
      <alignment horizontal="center" vertical="center" wrapText="1" readingOrder="1"/>
    </xf>
    <xf numFmtId="0" fontId="1" fillId="6" borderId="87" xfId="1" applyFont="1" applyFill="1" applyBorder="1" applyAlignment="1">
      <alignment horizontal="left" vertical="center" wrapText="1" indent="1" readingOrder="1"/>
    </xf>
    <xf numFmtId="0" fontId="14" fillId="6" borderId="87" xfId="1" applyFont="1" applyFill="1" applyBorder="1" applyAlignment="1">
      <alignment horizontal="left" vertical="center" wrapText="1" indent="1" readingOrder="1"/>
    </xf>
    <xf numFmtId="0" fontId="16" fillId="0" borderId="0" xfId="1" applyFont="1" applyAlignment="1">
      <alignment horizontal="right" readingOrder="2"/>
    </xf>
    <xf numFmtId="0" fontId="15" fillId="0" borderId="0" xfId="1" applyFont="1" applyAlignment="1">
      <alignment horizontal="right" vertical="center" readingOrder="2"/>
    </xf>
    <xf numFmtId="0" fontId="15" fillId="0" borderId="0" xfId="1" applyFont="1" applyAlignment="1">
      <alignment horizontal="right" readingOrder="2"/>
    </xf>
    <xf numFmtId="164" fontId="14" fillId="0" borderId="89" xfId="18" applyNumberFormat="1" applyFont="1" applyFill="1" applyBorder="1">
      <alignment horizontal="right" vertical="center" indent="1"/>
    </xf>
    <xf numFmtId="0" fontId="15" fillId="3" borderId="65" xfId="1" applyFont="1" applyFill="1" applyBorder="1" applyAlignment="1">
      <alignment horizontal="center" vertical="center" wrapText="1" readingOrder="1"/>
    </xf>
    <xf numFmtId="0" fontId="14" fillId="3" borderId="65" xfId="1" applyFont="1" applyFill="1" applyBorder="1" applyAlignment="1">
      <alignment horizontal="center" vertical="center" wrapText="1"/>
    </xf>
    <xf numFmtId="0" fontId="4" fillId="0" borderId="39" xfId="17" applyFont="1" applyFill="1" applyBorder="1" applyAlignment="1">
      <alignment horizontal="center" vertical="center" wrapText="1" readingOrder="2"/>
    </xf>
    <xf numFmtId="0" fontId="1" fillId="0" borderId="15" xfId="17" applyFont="1" applyFill="1" applyBorder="1" applyAlignment="1">
      <alignment horizontal="center" vertical="center" wrapText="1" readingOrder="1"/>
    </xf>
    <xf numFmtId="0" fontId="1" fillId="0" borderId="37" xfId="17" applyFont="1" applyFill="1" applyBorder="1" applyAlignment="1">
      <alignment horizontal="center" vertical="center" wrapText="1" readingOrder="1"/>
    </xf>
    <xf numFmtId="0" fontId="1" fillId="0" borderId="0" xfId="22" applyFont="1" applyAlignment="1">
      <alignment horizontal="left" vertical="center"/>
    </xf>
    <xf numFmtId="0" fontId="4" fillId="0" borderId="64" xfId="17" applyFont="1" applyFill="1" applyBorder="1" applyAlignment="1">
      <alignment horizontal="center" vertical="center" wrapText="1" readingOrder="2"/>
    </xf>
    <xf numFmtId="0" fontId="1" fillId="0" borderId="9" xfId="17" applyFont="1" applyFill="1" applyBorder="1" applyAlignment="1">
      <alignment horizontal="center" vertical="center" wrapText="1" readingOrder="1"/>
    </xf>
    <xf numFmtId="0" fontId="1" fillId="3" borderId="18" xfId="17" applyFont="1" applyFill="1" applyBorder="1" applyAlignment="1">
      <alignment horizontal="center" vertical="center" wrapText="1" readingOrder="1"/>
    </xf>
    <xf numFmtId="0" fontId="1" fillId="0" borderId="18" xfId="17" applyFont="1" applyFill="1" applyBorder="1" applyAlignment="1">
      <alignment horizontal="center" vertical="center" wrapText="1" readingOrder="1"/>
    </xf>
    <xf numFmtId="0" fontId="1" fillId="3" borderId="12" xfId="17" applyFont="1" applyFill="1" applyBorder="1" applyAlignment="1">
      <alignment horizontal="center" vertical="center" wrapText="1" readingOrder="1"/>
    </xf>
    <xf numFmtId="0" fontId="1" fillId="3" borderId="21" xfId="17" applyFont="1" applyFill="1" applyBorder="1" applyAlignment="1">
      <alignment horizontal="center" vertical="center" wrapText="1" readingOrder="1"/>
    </xf>
    <xf numFmtId="0" fontId="1" fillId="0" borderId="12" xfId="17" applyFont="1" applyFill="1" applyBorder="1" applyAlignment="1">
      <alignment horizontal="center" vertical="center" wrapText="1" readingOrder="1"/>
    </xf>
    <xf numFmtId="0" fontId="14" fillId="3" borderId="12" xfId="1" applyFont="1" applyFill="1" applyBorder="1" applyAlignment="1">
      <alignment horizontal="center" vertical="center" readingOrder="1"/>
    </xf>
    <xf numFmtId="0" fontId="14" fillId="3" borderId="41" xfId="1" applyFont="1" applyFill="1" applyBorder="1" applyAlignment="1">
      <alignment horizontal="center" vertical="center" readingOrder="1"/>
    </xf>
    <xf numFmtId="3" fontId="39" fillId="0" borderId="63" xfId="0" applyNumberFormat="1" applyFont="1" applyFill="1" applyBorder="1" applyAlignment="1" applyProtection="1">
      <alignment horizontal="right" vertical="center" indent="1"/>
    </xf>
    <xf numFmtId="0" fontId="14" fillId="0" borderId="68" xfId="0" applyNumberFormat="1" applyFont="1" applyFill="1" applyBorder="1" applyAlignment="1" applyProtection="1">
      <alignment horizontal="left" vertical="center" wrapText="1" indent="1" readingOrder="1"/>
    </xf>
    <xf numFmtId="0" fontId="88" fillId="0" borderId="91" xfId="0" applyFont="1" applyBorder="1" applyAlignment="1">
      <alignment horizontal="left" vertical="center" wrapText="1" indent="1"/>
    </xf>
    <xf numFmtId="0" fontId="14" fillId="3" borderId="63" xfId="1" applyFont="1" applyFill="1" applyBorder="1" applyAlignment="1">
      <alignment horizontal="center" wrapText="1" readingOrder="1"/>
    </xf>
    <xf numFmtId="0" fontId="4" fillId="0" borderId="64" xfId="0" applyNumberFormat="1" applyFont="1" applyFill="1" applyBorder="1" applyAlignment="1" applyProtection="1">
      <alignment horizontal="center" vertical="center" readingOrder="2"/>
    </xf>
    <xf numFmtId="3" fontId="39" fillId="0" borderId="65" xfId="0" applyNumberFormat="1" applyFont="1" applyFill="1" applyBorder="1" applyAlignment="1">
      <alignment horizontal="right" vertical="center" indent="1"/>
    </xf>
    <xf numFmtId="3" fontId="40" fillId="0" borderId="65" xfId="0" applyNumberFormat="1" applyFont="1" applyFill="1" applyBorder="1" applyAlignment="1">
      <alignment horizontal="right" vertical="center" indent="1"/>
    </xf>
    <xf numFmtId="0" fontId="14" fillId="0" borderId="66" xfId="0" applyNumberFormat="1" applyFont="1" applyFill="1" applyBorder="1" applyAlignment="1" applyProtection="1">
      <alignment horizontal="center" vertical="center" readingOrder="1"/>
    </xf>
    <xf numFmtId="0" fontId="4" fillId="0" borderId="68" xfId="0" applyNumberFormat="1" applyFont="1" applyFill="1" applyBorder="1" applyAlignment="1" applyProtection="1">
      <alignment horizontal="center" vertical="center" readingOrder="2"/>
    </xf>
    <xf numFmtId="3" fontId="39" fillId="0" borderId="63" xfId="0" applyNumberFormat="1" applyFont="1" applyFill="1" applyBorder="1" applyAlignment="1">
      <alignment horizontal="right" vertical="center" indent="1"/>
    </xf>
    <xf numFmtId="0" fontId="14" fillId="0" borderId="67" xfId="0" applyNumberFormat="1" applyFont="1" applyFill="1" applyBorder="1" applyAlignment="1" applyProtection="1">
      <alignment horizontal="center" vertical="center" readingOrder="1"/>
    </xf>
    <xf numFmtId="3" fontId="39" fillId="6" borderId="67" xfId="0" applyNumberFormat="1" applyFont="1" applyFill="1" applyBorder="1" applyAlignment="1" applyProtection="1">
      <alignment horizontal="right" vertical="center" indent="1"/>
    </xf>
    <xf numFmtId="3" fontId="39" fillId="6" borderId="63" xfId="0" applyNumberFormat="1" applyFont="1" applyFill="1" applyBorder="1" applyAlignment="1" applyProtection="1">
      <alignment horizontal="right" vertical="center" indent="1"/>
    </xf>
    <xf numFmtId="3" fontId="39" fillId="6" borderId="87" xfId="0" applyNumberFormat="1" applyFont="1" applyFill="1" applyBorder="1" applyAlignment="1" applyProtection="1">
      <alignment horizontal="right" vertical="center" indent="1"/>
    </xf>
    <xf numFmtId="3" fontId="39" fillId="0" borderId="63" xfId="1" applyNumberFormat="1" applyFont="1" applyFill="1" applyBorder="1" applyAlignment="1">
      <alignment horizontal="right" vertical="center" indent="1"/>
    </xf>
    <xf numFmtId="0" fontId="34" fillId="0" borderId="25" xfId="0" applyFont="1" applyFill="1" applyBorder="1" applyAlignment="1">
      <alignment horizontal="center" vertical="center"/>
    </xf>
    <xf numFmtId="0" fontId="39" fillId="0" borderId="25" xfId="0" applyFont="1" applyFill="1" applyBorder="1" applyAlignment="1">
      <alignment horizontal="center" vertical="center"/>
    </xf>
    <xf numFmtId="1" fontId="39" fillId="0" borderId="63" xfId="0" applyNumberFormat="1" applyFont="1" applyFill="1" applyBorder="1" applyAlignment="1">
      <alignment horizontal="right" vertical="center" indent="1"/>
    </xf>
    <xf numFmtId="164" fontId="39" fillId="0" borderId="63" xfId="0" applyNumberFormat="1" applyFont="1" applyFill="1" applyBorder="1" applyAlignment="1">
      <alignment horizontal="right" vertical="center" indent="1"/>
    </xf>
    <xf numFmtId="0" fontId="34" fillId="0" borderId="31" xfId="0" applyFont="1" applyFill="1" applyBorder="1" applyAlignment="1">
      <alignment horizontal="center" vertical="center"/>
    </xf>
    <xf numFmtId="0" fontId="39" fillId="0" borderId="31" xfId="0" applyFont="1" applyFill="1" applyBorder="1" applyAlignment="1">
      <alignment horizontal="center" vertical="center"/>
    </xf>
    <xf numFmtId="1" fontId="39" fillId="0" borderId="65" xfId="0" applyNumberFormat="1" applyFont="1" applyFill="1" applyBorder="1" applyAlignment="1">
      <alignment horizontal="right" vertical="center" indent="1"/>
    </xf>
    <xf numFmtId="164" fontId="39" fillId="0" borderId="65" xfId="0" applyNumberFormat="1" applyFont="1" applyFill="1" applyBorder="1" applyAlignment="1">
      <alignment horizontal="right" vertical="center" indent="1"/>
    </xf>
    <xf numFmtId="3" fontId="39" fillId="3" borderId="63" xfId="0" applyNumberFormat="1" applyFont="1" applyFill="1" applyBorder="1" applyAlignment="1" applyProtection="1">
      <alignment horizontal="right" vertical="center" indent="1"/>
    </xf>
    <xf numFmtId="0" fontId="39" fillId="3" borderId="67" xfId="0" applyNumberFormat="1" applyFont="1" applyFill="1" applyBorder="1" applyAlignment="1" applyProtection="1">
      <alignment horizontal="center" vertical="center" wrapText="1" readingOrder="1"/>
    </xf>
    <xf numFmtId="0" fontId="39" fillId="6" borderId="41" xfId="1" applyFont="1" applyFill="1" applyBorder="1" applyAlignment="1">
      <alignment horizontal="center" vertical="center" wrapText="1" readingOrder="1"/>
    </xf>
    <xf numFmtId="0" fontId="32" fillId="3" borderId="68" xfId="0" applyNumberFormat="1" applyFont="1" applyFill="1" applyBorder="1" applyAlignment="1" applyProtection="1">
      <alignment horizontal="center" vertical="center" wrapText="1" readingOrder="2"/>
    </xf>
    <xf numFmtId="0" fontId="32" fillId="6" borderId="40" xfId="1" applyFont="1" applyFill="1" applyBorder="1" applyAlignment="1">
      <alignment horizontal="center" vertical="center" wrapText="1" readingOrder="2"/>
    </xf>
    <xf numFmtId="3" fontId="39" fillId="3" borderId="87" xfId="0" applyNumberFormat="1" applyFont="1" applyFill="1" applyBorder="1" applyAlignment="1" applyProtection="1">
      <alignment horizontal="right" vertical="center" indent="1"/>
    </xf>
    <xf numFmtId="0" fontId="32" fillId="6" borderId="10" xfId="1" applyFont="1" applyFill="1" applyBorder="1" applyAlignment="1">
      <alignment horizontal="center" vertical="center" wrapText="1" readingOrder="2"/>
    </xf>
    <xf numFmtId="0" fontId="39" fillId="6" borderId="12" xfId="1" applyFont="1" applyFill="1" applyBorder="1" applyAlignment="1">
      <alignment horizontal="center" vertical="center" wrapText="1" readingOrder="1"/>
    </xf>
    <xf numFmtId="0" fontId="32" fillId="0" borderId="89" xfId="0" applyFont="1" applyFill="1" applyBorder="1" applyAlignment="1">
      <alignment horizontal="center" vertical="center"/>
    </xf>
    <xf numFmtId="3" fontId="39" fillId="0" borderId="87" xfId="0" applyNumberFormat="1" applyFont="1" applyFill="1" applyBorder="1" applyAlignment="1">
      <alignment horizontal="right" vertical="center" indent="1"/>
    </xf>
    <xf numFmtId="3" fontId="39" fillId="0" borderId="87" xfId="0" applyNumberFormat="1" applyFont="1" applyFill="1" applyBorder="1" applyAlignment="1" applyProtection="1">
      <alignment horizontal="right" vertical="center" indent="1"/>
    </xf>
    <xf numFmtId="0" fontId="39" fillId="0" borderId="88" xfId="0" applyFont="1" applyFill="1" applyBorder="1" applyAlignment="1">
      <alignment horizontal="center" vertical="center"/>
    </xf>
    <xf numFmtId="0" fontId="32" fillId="0" borderId="66" xfId="0" applyFont="1" applyFill="1" applyBorder="1" applyAlignment="1">
      <alignment horizontal="center" vertical="center"/>
    </xf>
    <xf numFmtId="0" fontId="39" fillId="0" borderId="64" xfId="0" applyFont="1" applyFill="1" applyBorder="1" applyAlignment="1">
      <alignment horizontal="center" vertical="center"/>
    </xf>
    <xf numFmtId="0" fontId="34" fillId="0" borderId="64" xfId="0" applyFont="1" applyFill="1" applyBorder="1" applyAlignment="1">
      <alignment horizontal="center" vertical="center"/>
    </xf>
    <xf numFmtId="0" fontId="34" fillId="0" borderId="66" xfId="0" applyFont="1" applyFill="1" applyBorder="1" applyAlignment="1">
      <alignment horizontal="center" vertical="center"/>
    </xf>
    <xf numFmtId="0" fontId="34" fillId="0" borderId="64" xfId="0" applyNumberFormat="1" applyFont="1" applyFill="1" applyBorder="1" applyAlignment="1" applyProtection="1">
      <alignment horizontal="center" vertical="center" wrapText="1" readingOrder="2"/>
    </xf>
    <xf numFmtId="3" fontId="39" fillId="0" borderId="49" xfId="0" applyNumberFormat="1" applyFont="1" applyFill="1" applyBorder="1" applyAlignment="1">
      <alignment horizontal="right" vertical="center" indent="1"/>
    </xf>
    <xf numFmtId="3" fontId="39" fillId="0" borderId="28" xfId="0" applyNumberFormat="1" applyFont="1" applyFill="1" applyBorder="1" applyAlignment="1" applyProtection="1">
      <alignment horizontal="right" vertical="center" indent="1"/>
    </xf>
    <xf numFmtId="3" fontId="39" fillId="0" borderId="65" xfId="0" applyNumberFormat="1" applyFont="1" applyFill="1" applyBorder="1" applyAlignment="1" applyProtection="1">
      <alignment horizontal="right" vertical="center" indent="1"/>
    </xf>
    <xf numFmtId="1" fontId="39" fillId="3" borderId="11" xfId="34" applyNumberFormat="1" applyFont="1" applyFill="1" applyBorder="1" applyAlignment="1">
      <alignment horizontal="right" vertical="center" indent="1"/>
    </xf>
    <xf numFmtId="0" fontId="14" fillId="0" borderId="66" xfId="0" applyNumberFormat="1" applyFont="1" applyFill="1" applyBorder="1" applyAlignment="1" applyProtection="1">
      <alignment horizontal="left" vertical="center" wrapText="1" indent="1" readingOrder="1"/>
    </xf>
    <xf numFmtId="3" fontId="39" fillId="0" borderId="63" xfId="1" applyNumberFormat="1" applyFont="1" applyFill="1" applyBorder="1" applyAlignment="1">
      <alignment horizontal="right" vertical="center" indent="1" readingOrder="1"/>
    </xf>
    <xf numFmtId="3" fontId="39" fillId="0" borderId="65" xfId="1" applyNumberFormat="1" applyFont="1" applyFill="1" applyBorder="1" applyAlignment="1">
      <alignment horizontal="right" vertical="center" indent="1" readingOrder="1"/>
    </xf>
    <xf numFmtId="0" fontId="16" fillId="0" borderId="0" xfId="13" applyFont="1" applyAlignment="1">
      <alignment horizontal="right" vertical="center" readingOrder="2"/>
    </xf>
    <xf numFmtId="0" fontId="14" fillId="0" borderId="64" xfId="0" applyNumberFormat="1" applyFont="1" applyFill="1" applyBorder="1" applyAlignment="1" applyProtection="1">
      <alignment horizontal="left" vertical="center" wrapText="1" indent="1" readingOrder="1"/>
    </xf>
    <xf numFmtId="0" fontId="4" fillId="0" borderId="19" xfId="1" applyFont="1" applyFill="1" applyBorder="1" applyAlignment="1">
      <alignment horizontal="right" vertical="center" wrapText="1" indent="1" readingOrder="2"/>
    </xf>
    <xf numFmtId="0" fontId="4" fillId="0" borderId="22" xfId="1" applyFont="1" applyFill="1" applyBorder="1" applyAlignment="1">
      <alignment horizontal="right" vertical="center" wrapText="1" indent="1" readingOrder="2"/>
    </xf>
    <xf numFmtId="0" fontId="4" fillId="0" borderId="67" xfId="0" applyNumberFormat="1" applyFont="1" applyFill="1" applyBorder="1" applyAlignment="1" applyProtection="1">
      <alignment horizontal="right" vertical="center" wrapText="1" indent="1" readingOrder="2"/>
    </xf>
    <xf numFmtId="0" fontId="4" fillId="0" borderId="0" xfId="1" applyFont="1" applyFill="1" applyBorder="1" applyAlignment="1">
      <alignment horizontal="right" vertical="center" wrapText="1" indent="1" readingOrder="2"/>
    </xf>
    <xf numFmtId="0" fontId="1" fillId="0" borderId="0" xfId="1" applyFont="1" applyFill="1" applyBorder="1" applyAlignment="1">
      <alignment horizontal="left" vertical="center" wrapText="1" indent="1" readingOrder="1"/>
    </xf>
    <xf numFmtId="3" fontId="39" fillId="0" borderId="93" xfId="1" applyNumberFormat="1" applyFont="1" applyFill="1" applyBorder="1" applyAlignment="1">
      <alignment horizontal="right" vertical="center" indent="1" readingOrder="1"/>
    </xf>
    <xf numFmtId="3" fontId="31" fillId="0" borderId="92" xfId="1" applyNumberFormat="1" applyFont="1" applyFill="1" applyBorder="1" applyAlignment="1">
      <alignment horizontal="right" vertical="center" indent="1" readingOrder="1"/>
    </xf>
    <xf numFmtId="0" fontId="4" fillId="0" borderId="64" xfId="0" applyNumberFormat="1" applyFont="1" applyFill="1" applyBorder="1" applyAlignment="1" applyProtection="1">
      <alignment horizontal="right" vertical="center" wrapText="1" indent="1" readingOrder="2"/>
    </xf>
    <xf numFmtId="0" fontId="4" fillId="0" borderId="56" xfId="1" applyFont="1" applyFill="1" applyBorder="1" applyAlignment="1">
      <alignment horizontal="right" vertical="center" wrapText="1" indent="1" readingOrder="2"/>
    </xf>
    <xf numFmtId="0" fontId="4" fillId="0" borderId="66" xfId="0" applyNumberFormat="1" applyFont="1" applyFill="1" applyBorder="1" applyAlignment="1" applyProtection="1">
      <alignment horizontal="right" vertical="center" wrapText="1" indent="1" readingOrder="2"/>
    </xf>
    <xf numFmtId="0" fontId="4" fillId="3" borderId="16" xfId="1" applyFont="1" applyFill="1" applyBorder="1" applyAlignment="1">
      <alignment horizontal="center" vertical="center" wrapText="1" readingOrder="2"/>
    </xf>
    <xf numFmtId="0" fontId="1" fillId="0" borderId="21" xfId="17" applyFont="1" applyFill="1" applyBorder="1" applyAlignment="1">
      <alignment horizontal="center" vertical="center" wrapText="1" readingOrder="1"/>
    </xf>
    <xf numFmtId="0" fontId="14" fillId="3" borderId="88" xfId="1" applyFont="1" applyFill="1" applyBorder="1" applyAlignment="1">
      <alignment horizontal="center" vertical="center" readingOrder="1"/>
    </xf>
    <xf numFmtId="0" fontId="4" fillId="3" borderId="89" xfId="1" applyFont="1" applyFill="1" applyBorder="1" applyAlignment="1">
      <alignment horizontal="center" vertical="center" readingOrder="2"/>
    </xf>
    <xf numFmtId="0" fontId="4" fillId="3" borderId="68" xfId="1" applyFont="1" applyFill="1" applyBorder="1" applyAlignment="1">
      <alignment horizontal="center" vertical="center" readingOrder="2"/>
    </xf>
    <xf numFmtId="0" fontId="1" fillId="0" borderId="88" xfId="1" applyFont="1" applyFill="1" applyBorder="1" applyAlignment="1">
      <alignment horizontal="center" vertical="center" wrapText="1" readingOrder="1"/>
    </xf>
    <xf numFmtId="0" fontId="12" fillId="3" borderId="74" xfId="1" applyFont="1" applyFill="1" applyBorder="1" applyAlignment="1">
      <alignment horizontal="center" vertical="center"/>
    </xf>
    <xf numFmtId="0" fontId="12" fillId="3" borderId="73" xfId="1" applyFont="1" applyFill="1" applyBorder="1" applyAlignment="1">
      <alignment horizontal="center" vertical="center"/>
    </xf>
    <xf numFmtId="0" fontId="12" fillId="3" borderId="72" xfId="1" applyFont="1" applyFill="1" applyBorder="1" applyAlignment="1">
      <alignment horizontal="center" vertical="center"/>
    </xf>
    <xf numFmtId="0" fontId="12" fillId="3" borderId="71" xfId="1" applyFont="1" applyFill="1" applyBorder="1" applyAlignment="1">
      <alignment horizontal="center" vertical="center"/>
    </xf>
    <xf numFmtId="0" fontId="12" fillId="3" borderId="79" xfId="1" applyFont="1" applyFill="1" applyBorder="1" applyAlignment="1">
      <alignment horizontal="center" vertical="center" readingOrder="2"/>
    </xf>
    <xf numFmtId="0" fontId="12" fillId="3" borderId="78" xfId="1" applyFont="1" applyFill="1" applyBorder="1" applyAlignment="1">
      <alignment horizontal="center" vertical="center" readingOrder="2"/>
    </xf>
    <xf numFmtId="0" fontId="4" fillId="3" borderId="79" xfId="1" applyFont="1" applyFill="1" applyBorder="1" applyAlignment="1">
      <alignment horizontal="center" vertical="center" wrapText="1" readingOrder="2"/>
    </xf>
    <xf numFmtId="0" fontId="4" fillId="3" borderId="78" xfId="1" applyFont="1" applyFill="1" applyBorder="1" applyAlignment="1">
      <alignment horizontal="center" vertical="center" wrapText="1" readingOrder="2"/>
    </xf>
    <xf numFmtId="0" fontId="16" fillId="0" borderId="0" xfId="1" applyFont="1" applyBorder="1" applyAlignment="1">
      <alignment horizontal="left" vertical="top" wrapText="1"/>
    </xf>
    <xf numFmtId="0" fontId="1" fillId="0" borderId="0" xfId="1" applyFont="1" applyBorder="1" applyAlignment="1">
      <alignment horizontal="left" vertical="top" wrapText="1"/>
    </xf>
    <xf numFmtId="0" fontId="4" fillId="3" borderId="79" xfId="1" applyFont="1" applyFill="1" applyBorder="1" applyAlignment="1">
      <alignment horizontal="center" vertical="center" wrapText="1"/>
    </xf>
    <xf numFmtId="0" fontId="4" fillId="3" borderId="78" xfId="1" applyFont="1" applyFill="1" applyBorder="1" applyAlignment="1">
      <alignment horizontal="center" vertical="center" wrapText="1"/>
    </xf>
    <xf numFmtId="0" fontId="16" fillId="0" borderId="0" xfId="1" applyFont="1" applyAlignment="1">
      <alignment horizontal="left" vertical="top" wrapText="1"/>
    </xf>
    <xf numFmtId="0" fontId="1" fillId="3" borderId="78" xfId="1" applyFont="1" applyFill="1" applyBorder="1" applyAlignment="1">
      <alignment horizontal="center" vertical="center" wrapText="1"/>
    </xf>
    <xf numFmtId="0" fontId="12" fillId="3" borderId="79" xfId="1" applyFont="1" applyFill="1" applyBorder="1" applyAlignment="1">
      <alignment horizontal="center" vertical="center" wrapText="1" readingOrder="2"/>
    </xf>
    <xf numFmtId="0" fontId="12" fillId="3" borderId="78" xfId="1" applyFont="1" applyFill="1" applyBorder="1" applyAlignment="1">
      <alignment horizontal="center" vertical="center" wrapText="1" readingOrder="2"/>
    </xf>
    <xf numFmtId="0" fontId="82" fillId="0" borderId="80" xfId="1" applyFont="1" applyBorder="1" applyAlignment="1">
      <alignment horizontal="center" vertical="center" readingOrder="2"/>
    </xf>
    <xf numFmtId="0" fontId="4" fillId="0" borderId="0" xfId="1" applyFont="1" applyBorder="1" applyAlignment="1">
      <alignment horizontal="right" wrapText="1" readingOrder="2"/>
    </xf>
    <xf numFmtId="0" fontId="4" fillId="0" borderId="0" xfId="1" applyFont="1" applyAlignment="1">
      <alignment horizontal="right" vertical="top" wrapText="1" indent="1" readingOrder="2"/>
    </xf>
    <xf numFmtId="0" fontId="4" fillId="3" borderId="79" xfId="1" applyFont="1" applyFill="1" applyBorder="1" applyAlignment="1">
      <alignment horizontal="center" vertical="center" wrapText="1" readingOrder="1"/>
    </xf>
    <xf numFmtId="0" fontId="4" fillId="3" borderId="78" xfId="1" applyFont="1" applyFill="1" applyBorder="1" applyAlignment="1">
      <alignment horizontal="center" vertical="center" wrapText="1" readingOrder="1"/>
    </xf>
    <xf numFmtId="0" fontId="1" fillId="0" borderId="0" xfId="1" applyFont="1" applyAlignment="1">
      <alignment horizontal="left" vertical="top" wrapText="1" indent="1" readingOrder="1"/>
    </xf>
    <xf numFmtId="0" fontId="14" fillId="0" borderId="0" xfId="1" applyFont="1" applyBorder="1" applyAlignment="1">
      <alignment horizontal="left" wrapText="1" readingOrder="1"/>
    </xf>
    <xf numFmtId="0" fontId="1" fillId="0" borderId="26" xfId="1" applyFont="1" applyBorder="1" applyAlignment="1">
      <alignment horizontal="center" wrapText="1" readingOrder="1"/>
    </xf>
    <xf numFmtId="0" fontId="1" fillId="0" borderId="25" xfId="1" applyFont="1" applyBorder="1" applyAlignment="1">
      <alignment horizontal="center" wrapText="1" readingOrder="1"/>
    </xf>
    <xf numFmtId="0" fontId="1" fillId="0" borderId="0" xfId="1" applyFont="1" applyAlignment="1">
      <alignment horizontal="right" vertical="center" wrapText="1" readingOrder="1"/>
    </xf>
    <xf numFmtId="0" fontId="65" fillId="0" borderId="0" xfId="1" applyFont="1" applyAlignment="1">
      <alignment horizontal="left" vertical="center" wrapText="1" readingOrder="1"/>
    </xf>
    <xf numFmtId="0" fontId="12" fillId="6" borderId="0" xfId="2" applyFont="1" applyFill="1" applyAlignment="1">
      <alignment horizontal="center"/>
    </xf>
    <xf numFmtId="164" fontId="7" fillId="3" borderId="23" xfId="1" applyNumberFormat="1" applyFont="1" applyFill="1" applyBorder="1" applyAlignment="1">
      <alignment horizontal="center" vertical="center" wrapText="1"/>
    </xf>
    <xf numFmtId="164" fontId="7" fillId="3" borderId="27" xfId="1" applyNumberFormat="1" applyFont="1" applyFill="1" applyBorder="1" applyAlignment="1">
      <alignment horizontal="center" vertical="center" wrapText="1"/>
    </xf>
    <xf numFmtId="0" fontId="7" fillId="3" borderId="7" xfId="1" applyFont="1" applyFill="1" applyBorder="1" applyAlignment="1">
      <alignment horizontal="center" vertical="center" wrapText="1"/>
    </xf>
    <xf numFmtId="0" fontId="7" fillId="3" borderId="16" xfId="1" applyFont="1" applyFill="1" applyBorder="1" applyAlignment="1">
      <alignment horizontal="center" vertical="center" wrapText="1"/>
    </xf>
    <xf numFmtId="0" fontId="7" fillId="3" borderId="10" xfId="1" applyFont="1" applyFill="1" applyBorder="1" applyAlignment="1">
      <alignment horizontal="center" vertical="center" wrapText="1"/>
    </xf>
    <xf numFmtId="0" fontId="4" fillId="6" borderId="0" xfId="4" applyFont="1" applyFill="1" applyBorder="1" applyAlignment="1">
      <alignment horizontal="center" wrapText="1" readingOrder="1"/>
    </xf>
    <xf numFmtId="0" fontId="4" fillId="6" borderId="0" xfId="4" applyFont="1" applyFill="1" applyBorder="1" applyAlignment="1">
      <alignment horizontal="center" readingOrder="1"/>
    </xf>
    <xf numFmtId="0" fontId="7" fillId="3" borderId="9" xfId="1" applyFont="1" applyFill="1" applyBorder="1" applyAlignment="1">
      <alignment horizontal="center" vertical="center" wrapText="1"/>
    </xf>
    <xf numFmtId="0" fontId="7" fillId="3" borderId="18" xfId="1" applyFont="1" applyFill="1" applyBorder="1" applyAlignment="1">
      <alignment horizontal="center" vertical="center" wrapText="1"/>
    </xf>
    <xf numFmtId="0" fontId="7" fillId="3" borderId="12" xfId="1" applyFont="1" applyFill="1" applyBorder="1" applyAlignment="1">
      <alignment horizontal="center" vertical="center" wrapText="1"/>
    </xf>
    <xf numFmtId="0" fontId="14" fillId="6" borderId="0" xfId="1" applyFont="1" applyFill="1" applyAlignment="1">
      <alignment horizontal="center" readingOrder="1"/>
    </xf>
    <xf numFmtId="0" fontId="7" fillId="3" borderId="39" xfId="1" applyFont="1" applyFill="1" applyBorder="1" applyAlignment="1">
      <alignment horizontal="center" vertical="center" wrapText="1"/>
    </xf>
    <xf numFmtId="0" fontId="7" fillId="3" borderId="37" xfId="1" applyFont="1" applyFill="1" applyBorder="1" applyAlignment="1">
      <alignment horizontal="center" vertical="center" wrapText="1"/>
    </xf>
    <xf numFmtId="164" fontId="15" fillId="3" borderId="24" xfId="1" applyNumberFormat="1" applyFont="1" applyFill="1" applyBorder="1" applyAlignment="1">
      <alignment horizontal="center" vertical="center" wrapText="1"/>
    </xf>
    <xf numFmtId="164" fontId="15" fillId="3" borderId="31" xfId="1" applyNumberFormat="1" applyFont="1" applyFill="1" applyBorder="1" applyAlignment="1">
      <alignment horizontal="center" vertical="center" wrapText="1"/>
    </xf>
    <xf numFmtId="164" fontId="15" fillId="3" borderId="22" xfId="1" applyNumberFormat="1" applyFont="1" applyFill="1" applyBorder="1" applyAlignment="1">
      <alignment horizontal="center" vertical="center" wrapText="1"/>
    </xf>
    <xf numFmtId="164" fontId="7" fillId="3" borderId="24" xfId="1" applyNumberFormat="1" applyFont="1" applyFill="1" applyBorder="1" applyAlignment="1">
      <alignment horizontal="center" vertical="center" wrapText="1"/>
    </xf>
    <xf numFmtId="164" fontId="7" fillId="3" borderId="31" xfId="1" applyNumberFormat="1" applyFont="1" applyFill="1" applyBorder="1" applyAlignment="1">
      <alignment horizontal="center" vertical="center" wrapText="1"/>
    </xf>
    <xf numFmtId="164" fontId="7" fillId="3" borderId="22" xfId="1" applyNumberFormat="1" applyFont="1" applyFill="1" applyBorder="1" applyAlignment="1">
      <alignment horizontal="center" vertical="center" wrapText="1"/>
    </xf>
    <xf numFmtId="164" fontId="7" fillId="3" borderId="44" xfId="1" applyNumberFormat="1" applyFont="1" applyFill="1" applyBorder="1" applyAlignment="1">
      <alignment horizontal="center" vertical="center" wrapText="1"/>
    </xf>
    <xf numFmtId="164" fontId="7" fillId="3" borderId="25" xfId="1" applyNumberFormat="1" applyFont="1" applyFill="1" applyBorder="1" applyAlignment="1">
      <alignment horizontal="center" vertical="center" wrapText="1"/>
    </xf>
    <xf numFmtId="164" fontId="7" fillId="3" borderId="45" xfId="1" applyNumberFormat="1" applyFont="1" applyFill="1" applyBorder="1" applyAlignment="1">
      <alignment horizontal="center" vertical="center" wrapText="1"/>
    </xf>
    <xf numFmtId="0" fontId="7" fillId="3" borderId="22" xfId="1" applyFont="1" applyFill="1" applyBorder="1" applyAlignment="1">
      <alignment horizontal="center" vertical="center" wrapText="1" readingOrder="1"/>
    </xf>
    <xf numFmtId="0" fontId="7" fillId="3" borderId="45" xfId="1" applyFont="1" applyFill="1" applyBorder="1" applyAlignment="1">
      <alignment horizontal="center" vertical="center" wrapText="1" readingOrder="1"/>
    </xf>
    <xf numFmtId="0" fontId="7" fillId="3" borderId="24" xfId="1" applyFont="1" applyFill="1" applyBorder="1" applyAlignment="1">
      <alignment horizontal="center" vertical="center" wrapText="1" readingOrder="1"/>
    </xf>
    <xf numFmtId="0" fontId="7" fillId="3" borderId="44" xfId="1" applyFont="1" applyFill="1" applyBorder="1" applyAlignment="1">
      <alignment horizontal="center" vertical="center" wrapText="1" readingOrder="1"/>
    </xf>
    <xf numFmtId="0" fontId="4" fillId="6" borderId="0" xfId="4" applyFont="1" applyFill="1" applyAlignment="1">
      <alignment horizontal="center" wrapText="1"/>
    </xf>
    <xf numFmtId="0" fontId="4" fillId="6" borderId="0" xfId="4" applyFont="1" applyFill="1" applyAlignment="1">
      <alignment horizontal="center"/>
    </xf>
    <xf numFmtId="0" fontId="14" fillId="0" borderId="0" xfId="1" applyFont="1" applyAlignment="1">
      <alignment horizontal="center" readingOrder="1"/>
    </xf>
    <xf numFmtId="0" fontId="7" fillId="3" borderId="7" xfId="1" applyFont="1" applyFill="1" applyBorder="1" applyAlignment="1">
      <alignment horizontal="center" vertical="center" wrapText="1" readingOrder="1"/>
    </xf>
    <xf numFmtId="0" fontId="7" fillId="3" borderId="19" xfId="1" applyFont="1" applyFill="1" applyBorder="1" applyAlignment="1">
      <alignment horizontal="center" vertical="center" wrapText="1" readingOrder="1"/>
    </xf>
    <xf numFmtId="0" fontId="7" fillId="3" borderId="9" xfId="1" applyFont="1" applyFill="1" applyBorder="1" applyAlignment="1">
      <alignment horizontal="center" vertical="center" wrapText="1" readingOrder="1"/>
    </xf>
    <xf numFmtId="0" fontId="7" fillId="3" borderId="21" xfId="1" applyFont="1" applyFill="1" applyBorder="1" applyAlignment="1">
      <alignment horizontal="center" vertical="center" wrapText="1" readingOrder="1"/>
    </xf>
    <xf numFmtId="0" fontId="7" fillId="3" borderId="23" xfId="1" applyFont="1" applyFill="1" applyBorder="1" applyAlignment="1">
      <alignment horizontal="center" vertical="center" wrapText="1"/>
    </xf>
    <xf numFmtId="0" fontId="7" fillId="3" borderId="24" xfId="1" applyFont="1" applyFill="1" applyBorder="1" applyAlignment="1">
      <alignment horizontal="center" vertical="center" wrapText="1"/>
    </xf>
    <xf numFmtId="0" fontId="7" fillId="3" borderId="44" xfId="1" applyFont="1" applyFill="1" applyBorder="1" applyAlignment="1">
      <alignment horizontal="center" vertical="center" wrapText="1"/>
    </xf>
    <xf numFmtId="0" fontId="7" fillId="3" borderId="22" xfId="1" applyFont="1" applyFill="1" applyBorder="1" applyAlignment="1">
      <alignment horizontal="center" vertical="center" wrapText="1"/>
    </xf>
    <xf numFmtId="0" fontId="7" fillId="3" borderId="45" xfId="1" applyFont="1" applyFill="1" applyBorder="1" applyAlignment="1">
      <alignment horizontal="center" vertical="center" wrapText="1"/>
    </xf>
    <xf numFmtId="0" fontId="12" fillId="6" borderId="0" xfId="4" applyFont="1" applyFill="1" applyAlignment="1">
      <alignment horizontal="center" vertical="center"/>
    </xf>
    <xf numFmtId="0" fontId="4" fillId="6" borderId="0" xfId="4" applyFont="1" applyFill="1" applyAlignment="1">
      <alignment horizontal="center" vertical="center" readingOrder="2"/>
    </xf>
    <xf numFmtId="0" fontId="4" fillId="6" borderId="0" xfId="4" applyFont="1" applyFill="1" applyAlignment="1">
      <alignment horizontal="center" vertical="center"/>
    </xf>
    <xf numFmtId="0" fontId="15" fillId="3" borderId="44" xfId="1" applyFont="1" applyFill="1" applyBorder="1" applyAlignment="1">
      <alignment horizontal="center" vertical="center" wrapText="1"/>
    </xf>
    <xf numFmtId="0" fontId="15" fillId="3" borderId="45" xfId="1" applyFont="1" applyFill="1" applyBorder="1" applyAlignment="1">
      <alignment horizontal="center" vertical="center" wrapText="1"/>
    </xf>
    <xf numFmtId="0" fontId="15" fillId="3" borderId="37" xfId="1" applyFont="1" applyFill="1" applyBorder="1" applyAlignment="1">
      <alignment horizontal="center" vertical="center" wrapText="1"/>
    </xf>
    <xf numFmtId="0" fontId="15" fillId="3" borderId="39" xfId="1" applyFont="1" applyFill="1" applyBorder="1" applyAlignment="1">
      <alignment horizontal="center" vertical="center" wrapText="1"/>
    </xf>
    <xf numFmtId="0" fontId="15" fillId="3" borderId="41" xfId="1" applyFont="1" applyFill="1" applyBorder="1" applyAlignment="1">
      <alignment horizontal="center" vertical="center" wrapText="1"/>
    </xf>
    <xf numFmtId="0" fontId="15" fillId="3" borderId="40" xfId="1" applyFont="1" applyFill="1" applyBorder="1" applyAlignment="1">
      <alignment horizontal="center" vertical="center" wrapText="1"/>
    </xf>
    <xf numFmtId="0" fontId="15" fillId="3" borderId="31" xfId="1" applyFont="1" applyFill="1" applyBorder="1" applyAlignment="1">
      <alignment horizontal="left" vertical="center" wrapText="1" indent="1"/>
    </xf>
    <xf numFmtId="0" fontId="15" fillId="3" borderId="31" xfId="1" applyFont="1" applyFill="1" applyBorder="1" applyAlignment="1">
      <alignment horizontal="right" vertical="center" wrapText="1" indent="1"/>
    </xf>
    <xf numFmtId="0" fontId="14" fillId="3" borderId="44" xfId="1" applyFont="1" applyFill="1" applyBorder="1" applyAlignment="1">
      <alignment horizontal="center" vertical="center" wrapText="1"/>
    </xf>
    <xf numFmtId="0" fontId="14" fillId="3" borderId="25" xfId="1" applyFont="1" applyFill="1" applyBorder="1" applyAlignment="1">
      <alignment horizontal="center" vertical="center" wrapText="1"/>
    </xf>
    <xf numFmtId="0" fontId="14" fillId="3" borderId="37" xfId="1" applyFont="1" applyFill="1" applyBorder="1" applyAlignment="1">
      <alignment horizontal="center" vertical="center" wrapText="1"/>
    </xf>
    <xf numFmtId="0" fontId="14" fillId="3" borderId="0" xfId="1" applyFont="1" applyFill="1" applyBorder="1" applyAlignment="1">
      <alignment horizontal="center" vertical="center" wrapText="1"/>
    </xf>
    <xf numFmtId="0" fontId="14" fillId="3" borderId="41" xfId="1" applyFont="1" applyFill="1" applyBorder="1" applyAlignment="1">
      <alignment horizontal="center" vertical="center" wrapText="1"/>
    </xf>
    <xf numFmtId="0" fontId="14" fillId="3" borderId="26" xfId="1" applyFont="1" applyFill="1" applyBorder="1" applyAlignment="1">
      <alignment horizontal="center" vertical="center" wrapText="1"/>
    </xf>
    <xf numFmtId="0" fontId="39" fillId="3" borderId="45" xfId="34" applyFont="1" applyFill="1" applyBorder="1" applyAlignment="1">
      <alignment horizontal="center" vertical="center" wrapText="1" readingOrder="2"/>
    </xf>
    <xf numFmtId="0" fontId="39" fillId="3" borderId="27" xfId="34" applyFont="1" applyFill="1" applyBorder="1" applyAlignment="1">
      <alignment horizontal="center" vertical="center" wrapText="1" readingOrder="2"/>
    </xf>
    <xf numFmtId="0" fontId="39" fillId="3" borderId="44" xfId="34" applyFont="1" applyFill="1" applyBorder="1" applyAlignment="1">
      <alignment horizontal="center" vertical="center" wrapText="1" readingOrder="2"/>
    </xf>
    <xf numFmtId="0" fontId="32" fillId="0" borderId="14" xfId="34" applyFont="1" applyBorder="1" applyAlignment="1">
      <alignment horizontal="right" vertical="center" indent="1" readingOrder="2"/>
    </xf>
    <xf numFmtId="0" fontId="32" fillId="0" borderId="17" xfId="34" applyFont="1" applyBorder="1" applyAlignment="1">
      <alignment horizontal="right" vertical="center" indent="1" readingOrder="2"/>
    </xf>
    <xf numFmtId="0" fontId="14" fillId="6" borderId="14" xfId="19" applyFont="1" applyFill="1" applyBorder="1" applyAlignment="1">
      <alignment horizontal="left" vertical="center" wrapText="1" indent="1"/>
    </xf>
    <xf numFmtId="0" fontId="14" fillId="6" borderId="17" xfId="19" applyFont="1" applyFill="1" applyBorder="1" applyAlignment="1">
      <alignment horizontal="left" vertical="center" wrapText="1" indent="1"/>
    </xf>
    <xf numFmtId="0" fontId="32" fillId="3" borderId="17" xfId="34" applyFont="1" applyFill="1" applyBorder="1" applyAlignment="1">
      <alignment horizontal="right" vertical="center" indent="1" readingOrder="2"/>
    </xf>
    <xf numFmtId="0" fontId="14" fillId="3" borderId="17" xfId="19" applyFont="1" applyFill="1" applyBorder="1" applyAlignment="1">
      <alignment horizontal="left" vertical="center" wrapText="1" indent="1"/>
    </xf>
    <xf numFmtId="0" fontId="32" fillId="0" borderId="20" xfId="34" applyFont="1" applyBorder="1" applyAlignment="1">
      <alignment horizontal="right" vertical="center" indent="1" readingOrder="2"/>
    </xf>
    <xf numFmtId="0" fontId="14" fillId="6" borderId="20" xfId="19" applyFont="1" applyFill="1" applyBorder="1" applyAlignment="1">
      <alignment horizontal="left" vertical="center" wrapText="1" indent="1"/>
    </xf>
    <xf numFmtId="0" fontId="32" fillId="3" borderId="8" xfId="34" applyFont="1" applyFill="1" applyBorder="1" applyAlignment="1">
      <alignment horizontal="center" vertical="center" readingOrder="2"/>
    </xf>
    <xf numFmtId="0" fontId="32" fillId="3" borderId="17" xfId="34" applyFont="1" applyFill="1" applyBorder="1" applyAlignment="1">
      <alignment horizontal="center" vertical="center" readingOrder="2"/>
    </xf>
    <xf numFmtId="0" fontId="32" fillId="3" borderId="11" xfId="34" applyFont="1" applyFill="1" applyBorder="1" applyAlignment="1">
      <alignment horizontal="center" vertical="center" readingOrder="2"/>
    </xf>
    <xf numFmtId="0" fontId="14" fillId="3" borderId="8" xfId="19" applyFont="1" applyFill="1" applyBorder="1" applyAlignment="1">
      <alignment horizontal="center" vertical="center" wrapText="1"/>
    </xf>
    <xf numFmtId="0" fontId="14" fillId="3" borderId="17" xfId="19" applyFont="1" applyFill="1" applyBorder="1" applyAlignment="1">
      <alignment horizontal="center" vertical="center" wrapText="1"/>
    </xf>
    <xf numFmtId="0" fontId="14" fillId="3" borderId="11" xfId="19" applyFont="1" applyFill="1" applyBorder="1" applyAlignment="1">
      <alignment horizontal="center" vertical="center" wrapText="1"/>
    </xf>
    <xf numFmtId="0" fontId="1" fillId="0" borderId="25" xfId="1" applyFont="1" applyBorder="1" applyAlignment="1">
      <alignment horizontal="right" readingOrder="2"/>
    </xf>
    <xf numFmtId="0" fontId="1" fillId="0" borderId="25" xfId="1" applyFont="1" applyBorder="1" applyAlignment="1">
      <alignment horizontal="left"/>
    </xf>
    <xf numFmtId="0" fontId="14" fillId="0" borderId="0" xfId="1" applyFont="1" applyAlignment="1">
      <alignment readingOrder="1"/>
    </xf>
    <xf numFmtId="0" fontId="15" fillId="3" borderId="7" xfId="1" applyFont="1" applyFill="1" applyBorder="1" applyAlignment="1">
      <alignment horizontal="center" vertical="center" wrapText="1"/>
    </xf>
    <xf numFmtId="0" fontId="15" fillId="3" borderId="19" xfId="1" applyFont="1" applyFill="1" applyBorder="1" applyAlignment="1">
      <alignment horizontal="center" vertical="center" wrapText="1"/>
    </xf>
    <xf numFmtId="0" fontId="15" fillId="3" borderId="27" xfId="1" applyFont="1" applyFill="1" applyBorder="1" applyAlignment="1">
      <alignment horizontal="center" vertical="center" wrapText="1"/>
    </xf>
    <xf numFmtId="0" fontId="15" fillId="3" borderId="9" xfId="1" applyFont="1" applyFill="1" applyBorder="1" applyAlignment="1">
      <alignment horizontal="center" vertical="center" wrapText="1"/>
    </xf>
    <xf numFmtId="0" fontId="15" fillId="3" borderId="21" xfId="1" applyFont="1" applyFill="1" applyBorder="1" applyAlignment="1">
      <alignment horizontal="center" vertical="center" wrapText="1"/>
    </xf>
    <xf numFmtId="0" fontId="14" fillId="3" borderId="12" xfId="17" applyFont="1" applyFill="1" applyBorder="1" applyAlignment="1">
      <alignment horizontal="center" vertical="center" wrapText="1" readingOrder="1"/>
    </xf>
    <xf numFmtId="0" fontId="14" fillId="3" borderId="48" xfId="17" applyFont="1" applyFill="1" applyBorder="1" applyAlignment="1">
      <alignment horizontal="center" vertical="center" wrapText="1" readingOrder="1"/>
    </xf>
    <xf numFmtId="0" fontId="7" fillId="3" borderId="19" xfId="1" applyFont="1" applyFill="1" applyBorder="1" applyAlignment="1">
      <alignment horizontal="center" vertical="center" wrapText="1"/>
    </xf>
    <xf numFmtId="0" fontId="7" fillId="3" borderId="8" xfId="1" applyFont="1" applyFill="1" applyBorder="1" applyAlignment="1">
      <alignment horizontal="center" vertical="center" wrapText="1"/>
    </xf>
    <xf numFmtId="0" fontId="7" fillId="3" borderId="20" xfId="1" applyFont="1" applyFill="1" applyBorder="1" applyAlignment="1">
      <alignment horizontal="center" vertical="center" wrapText="1"/>
    </xf>
    <xf numFmtId="0" fontId="22" fillId="3" borderId="9" xfId="1" applyFont="1" applyFill="1" applyBorder="1" applyAlignment="1">
      <alignment horizontal="center" vertical="center" wrapText="1"/>
    </xf>
    <xf numFmtId="0" fontId="22" fillId="3" borderId="21" xfId="1" applyFont="1" applyFill="1" applyBorder="1" applyAlignment="1">
      <alignment horizontal="center" vertical="center" wrapText="1"/>
    </xf>
    <xf numFmtId="0" fontId="12" fillId="6" borderId="0" xfId="2" applyFont="1" applyFill="1" applyAlignment="1">
      <alignment horizontal="center" vertical="center"/>
    </xf>
    <xf numFmtId="0" fontId="7" fillId="3" borderId="31" xfId="1" applyFont="1" applyFill="1" applyBorder="1" applyAlignment="1">
      <alignment horizontal="center" vertical="center" wrapText="1"/>
    </xf>
    <xf numFmtId="0" fontId="4" fillId="3" borderId="7" xfId="1" applyFont="1" applyFill="1" applyBorder="1" applyAlignment="1">
      <alignment horizontal="center" vertical="center" wrapText="1" readingOrder="2"/>
    </xf>
    <xf numFmtId="0" fontId="4" fillId="3" borderId="19" xfId="1" applyFont="1" applyFill="1" applyBorder="1" applyAlignment="1">
      <alignment horizontal="center" vertical="center" wrapText="1" readingOrder="2"/>
    </xf>
    <xf numFmtId="1" fontId="5" fillId="3" borderId="9" xfId="1" applyNumberFormat="1" applyFont="1" applyFill="1" applyBorder="1" applyAlignment="1">
      <alignment horizontal="center" vertical="center" wrapText="1" readingOrder="1"/>
    </xf>
    <xf numFmtId="1" fontId="5" fillId="3" borderId="21" xfId="1" applyNumberFormat="1" applyFont="1" applyFill="1" applyBorder="1" applyAlignment="1">
      <alignment horizontal="center" vertical="center" wrapText="1" readingOrder="1"/>
    </xf>
    <xf numFmtId="0" fontId="14" fillId="3" borderId="44" xfId="1" applyFont="1" applyFill="1" applyBorder="1" applyAlignment="1">
      <alignment horizontal="center" vertical="center"/>
    </xf>
    <xf numFmtId="0" fontId="14" fillId="3" borderId="25" xfId="1" applyFont="1" applyFill="1" applyBorder="1" applyAlignment="1">
      <alignment horizontal="center" vertical="center"/>
    </xf>
    <xf numFmtId="0" fontId="14" fillId="3" borderId="45" xfId="1" applyFont="1" applyFill="1" applyBorder="1" applyAlignment="1">
      <alignment horizontal="center" vertical="center"/>
    </xf>
    <xf numFmtId="1" fontId="14" fillId="3" borderId="9" xfId="1" applyNumberFormat="1" applyFont="1" applyFill="1" applyBorder="1" applyAlignment="1">
      <alignment horizontal="center" vertical="center" wrapText="1" readingOrder="1"/>
    </xf>
    <xf numFmtId="1" fontId="14" fillId="3" borderId="21" xfId="1" applyNumberFormat="1" applyFont="1" applyFill="1" applyBorder="1" applyAlignment="1">
      <alignment horizontal="center" vertical="center" wrapText="1" readingOrder="1"/>
    </xf>
    <xf numFmtId="0" fontId="4" fillId="3" borderId="10" xfId="1" applyFont="1" applyFill="1" applyBorder="1" applyAlignment="1">
      <alignment horizontal="center" vertical="center" wrapText="1" readingOrder="2"/>
    </xf>
    <xf numFmtId="1" fontId="14" fillId="3" borderId="12" xfId="1" applyNumberFormat="1" applyFont="1" applyFill="1" applyBorder="1" applyAlignment="1">
      <alignment horizontal="center" vertical="center" wrapText="1" readingOrder="1"/>
    </xf>
    <xf numFmtId="0" fontId="13" fillId="6" borderId="0" xfId="2" applyFont="1" applyFill="1" applyAlignment="1">
      <alignment horizontal="center"/>
    </xf>
    <xf numFmtId="0" fontId="14" fillId="3" borderId="12" xfId="1" applyFont="1" applyFill="1" applyBorder="1" applyAlignment="1">
      <alignment horizontal="center" vertical="center" readingOrder="1"/>
    </xf>
    <xf numFmtId="0" fontId="14" fillId="3" borderId="48" xfId="1" applyFont="1" applyFill="1" applyBorder="1" applyAlignment="1">
      <alignment horizontal="center" vertical="center" readingOrder="1"/>
    </xf>
    <xf numFmtId="0" fontId="4" fillId="3" borderId="27" xfId="1" applyFont="1" applyFill="1" applyBorder="1" applyAlignment="1">
      <alignment horizontal="center" vertical="center" wrapText="1" readingOrder="1"/>
    </xf>
    <xf numFmtId="0" fontId="4" fillId="3" borderId="8" xfId="1" applyFont="1" applyFill="1" applyBorder="1" applyAlignment="1">
      <alignment horizontal="center" vertical="center" wrapText="1" readingOrder="2"/>
    </xf>
    <xf numFmtId="0" fontId="4" fillId="3" borderId="11" xfId="1" applyFont="1" applyFill="1" applyBorder="1" applyAlignment="1">
      <alignment horizontal="center" vertical="center" wrapText="1" readingOrder="2"/>
    </xf>
    <xf numFmtId="0" fontId="14" fillId="3" borderId="11" xfId="1" applyFont="1" applyFill="1" applyBorder="1" applyAlignment="1">
      <alignment horizontal="center" vertical="center" readingOrder="1"/>
    </xf>
    <xf numFmtId="0" fontId="4" fillId="3" borderId="16" xfId="1" applyFont="1" applyFill="1" applyBorder="1" applyAlignment="1">
      <alignment horizontal="center" vertical="center" wrapText="1" readingOrder="2"/>
    </xf>
    <xf numFmtId="0" fontId="14" fillId="3" borderId="27" xfId="1" applyFont="1" applyFill="1" applyBorder="1" applyAlignment="1">
      <alignment horizontal="center" vertical="center" wrapText="1" readingOrder="2"/>
    </xf>
    <xf numFmtId="1" fontId="14" fillId="3" borderId="18" xfId="1" applyNumberFormat="1" applyFont="1" applyFill="1" applyBorder="1" applyAlignment="1">
      <alignment horizontal="center" vertical="center" wrapText="1" readingOrder="1"/>
    </xf>
    <xf numFmtId="0" fontId="12" fillId="6" borderId="0" xfId="3" applyFont="1" applyFill="1" applyAlignment="1">
      <alignment horizontal="center"/>
    </xf>
    <xf numFmtId="0" fontId="4" fillId="6" borderId="0" xfId="5" applyFont="1" applyFill="1" applyAlignment="1">
      <alignment horizontal="center" wrapText="1"/>
    </xf>
    <xf numFmtId="0" fontId="4" fillId="6" borderId="0" xfId="5" applyFont="1" applyFill="1" applyAlignment="1">
      <alignment horizontal="center"/>
    </xf>
    <xf numFmtId="0" fontId="4" fillId="6" borderId="0" xfId="1" applyFont="1" applyFill="1" applyAlignment="1">
      <alignment horizontal="center" vertical="center" readingOrder="2"/>
    </xf>
    <xf numFmtId="1" fontId="5" fillId="3" borderId="12" xfId="1" applyNumberFormat="1" applyFont="1" applyFill="1" applyBorder="1" applyAlignment="1">
      <alignment horizontal="center" vertical="center" wrapText="1" readingOrder="1"/>
    </xf>
    <xf numFmtId="0" fontId="4" fillId="3" borderId="27" xfId="1" applyFont="1" applyFill="1" applyBorder="1" applyAlignment="1">
      <alignment horizontal="center" vertical="center" wrapText="1"/>
    </xf>
    <xf numFmtId="0" fontId="14" fillId="3" borderId="8" xfId="1" applyFont="1" applyFill="1" applyBorder="1" applyAlignment="1">
      <alignment horizontal="center" vertical="center" wrapText="1" readingOrder="2"/>
    </xf>
    <xf numFmtId="0" fontId="14" fillId="3" borderId="11" xfId="1" applyFont="1" applyFill="1" applyBorder="1" applyAlignment="1">
      <alignment horizontal="center" vertical="center" wrapText="1" readingOrder="2"/>
    </xf>
    <xf numFmtId="0" fontId="4" fillId="3" borderId="20" xfId="1" applyFont="1" applyFill="1" applyBorder="1" applyAlignment="1">
      <alignment horizontal="center" vertical="center" wrapText="1" readingOrder="2"/>
    </xf>
    <xf numFmtId="0" fontId="1" fillId="6" borderId="9" xfId="1" applyFont="1" applyFill="1" applyBorder="1" applyAlignment="1">
      <alignment horizontal="left" vertical="center" wrapText="1" indent="1" readingOrder="1"/>
    </xf>
    <xf numFmtId="0" fontId="1" fillId="6" borderId="18" xfId="1" applyFont="1" applyFill="1" applyBorder="1" applyAlignment="1">
      <alignment horizontal="left" vertical="center" wrapText="1" indent="1" readingOrder="1"/>
    </xf>
    <xf numFmtId="0" fontId="15" fillId="6" borderId="7" xfId="1" applyFont="1" applyFill="1" applyBorder="1" applyAlignment="1">
      <alignment horizontal="right" vertical="center" wrapText="1" indent="1" readingOrder="2"/>
    </xf>
    <xf numFmtId="0" fontId="15" fillId="6"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0" fontId="15" fillId="3" borderId="19" xfId="1" applyFont="1" applyFill="1" applyBorder="1" applyAlignment="1">
      <alignment horizontal="right" vertical="center" wrapText="1" indent="1" readingOrder="2"/>
    </xf>
    <xf numFmtId="0" fontId="14" fillId="6" borderId="9" xfId="1" applyFont="1" applyFill="1" applyBorder="1" applyAlignment="1">
      <alignment horizontal="center" vertical="center" readingOrder="1"/>
    </xf>
    <xf numFmtId="0" fontId="14" fillId="6" borderId="12" xfId="1" applyFont="1" applyFill="1" applyBorder="1" applyAlignment="1">
      <alignment horizontal="center" vertical="center" readingOrder="1"/>
    </xf>
    <xf numFmtId="0" fontId="4" fillId="6" borderId="7" xfId="1" applyFont="1" applyFill="1" applyBorder="1" applyAlignment="1">
      <alignment horizontal="center" vertical="center" readingOrder="2"/>
    </xf>
    <xf numFmtId="0" fontId="4" fillId="6" borderId="10" xfId="1" applyFont="1" applyFill="1" applyBorder="1" applyAlignment="1">
      <alignment horizontal="center" vertical="center" readingOrder="2"/>
    </xf>
    <xf numFmtId="0" fontId="1" fillId="3" borderId="18" xfId="1" applyFont="1" applyFill="1" applyBorder="1" applyAlignment="1">
      <alignment horizontal="left" vertical="center" wrapText="1" indent="1" readingOrder="1"/>
    </xf>
    <xf numFmtId="0" fontId="1" fillId="3" borderId="21" xfId="1" applyFont="1" applyFill="1" applyBorder="1" applyAlignment="1">
      <alignment horizontal="left" vertical="center" wrapText="1" indent="1" readingOrder="1"/>
    </xf>
    <xf numFmtId="0" fontId="15" fillId="6" borderId="13" xfId="1" applyFont="1" applyFill="1" applyBorder="1" applyAlignment="1">
      <alignment horizontal="right" vertical="center" wrapText="1" indent="1" readingOrder="2"/>
    </xf>
    <xf numFmtId="0" fontId="1" fillId="6" borderId="15" xfId="1" applyFont="1" applyFill="1" applyBorder="1" applyAlignment="1">
      <alignment horizontal="left" vertical="center" wrapText="1" indent="1" readingOrder="1"/>
    </xf>
    <xf numFmtId="0" fontId="7" fillId="3" borderId="27" xfId="1" applyFont="1" applyFill="1" applyBorder="1" applyAlignment="1">
      <alignment horizontal="center" vertical="center" wrapText="1"/>
    </xf>
    <xf numFmtId="0" fontId="7" fillId="3" borderId="21" xfId="1" applyFont="1" applyFill="1" applyBorder="1" applyAlignment="1">
      <alignment horizontal="center" vertical="center" wrapText="1"/>
    </xf>
    <xf numFmtId="0" fontId="16" fillId="0" borderId="25" xfId="1" applyFont="1" applyBorder="1" applyAlignment="1">
      <alignment horizontal="right" vertical="center" readingOrder="2"/>
    </xf>
    <xf numFmtId="0" fontId="1" fillId="0" borderId="25" xfId="1" applyFont="1" applyBorder="1" applyAlignment="1">
      <alignment horizontal="left" vertical="center"/>
    </xf>
    <xf numFmtId="0" fontId="14" fillId="3" borderId="24" xfId="17" applyFont="1" applyFill="1" applyBorder="1" applyAlignment="1">
      <alignment horizontal="center" vertical="center" wrapText="1" readingOrder="1"/>
    </xf>
    <xf numFmtId="0" fontId="14" fillId="3" borderId="31" xfId="17" applyFont="1" applyFill="1" applyBorder="1" applyAlignment="1">
      <alignment horizontal="center" vertical="center" wrapText="1" readingOrder="1"/>
    </xf>
    <xf numFmtId="0" fontId="22" fillId="3" borderId="12" xfId="1" applyFont="1" applyFill="1" applyBorder="1" applyAlignment="1">
      <alignment horizontal="center" vertical="center" wrapText="1"/>
    </xf>
    <xf numFmtId="0" fontId="6" fillId="3" borderId="7" xfId="1" applyFont="1" applyFill="1" applyBorder="1" applyAlignment="1">
      <alignment horizontal="center" vertical="center" wrapText="1"/>
    </xf>
    <xf numFmtId="0" fontId="6" fillId="3" borderId="10" xfId="1" applyFont="1" applyFill="1" applyBorder="1" applyAlignment="1">
      <alignment horizontal="center" vertical="center" wrapText="1"/>
    </xf>
    <xf numFmtId="0" fontId="7" fillId="3" borderId="11" xfId="1" applyFont="1" applyFill="1" applyBorder="1" applyAlignment="1">
      <alignment horizontal="center" vertical="center" wrapText="1"/>
    </xf>
    <xf numFmtId="0" fontId="6" fillId="3" borderId="19" xfId="1" applyFont="1" applyFill="1" applyBorder="1" applyAlignment="1">
      <alignment horizontal="center" vertical="center" wrapText="1"/>
    </xf>
    <xf numFmtId="0" fontId="14" fillId="3" borderId="20" xfId="1" applyFont="1" applyFill="1" applyBorder="1" applyAlignment="1">
      <alignment horizontal="center" vertical="center" wrapText="1" readingOrder="2"/>
    </xf>
    <xf numFmtId="0" fontId="15" fillId="3" borderId="10" xfId="1" applyFont="1" applyFill="1" applyBorder="1" applyAlignment="1">
      <alignment horizontal="right" vertical="center" wrapText="1" indent="1" readingOrder="2"/>
    </xf>
    <xf numFmtId="0" fontId="1" fillId="3" borderId="12" xfId="1" applyFont="1" applyFill="1" applyBorder="1" applyAlignment="1">
      <alignment horizontal="left" vertical="center" wrapText="1" indent="1" readingOrder="1"/>
    </xf>
    <xf numFmtId="0" fontId="4" fillId="6" borderId="13" xfId="1" applyFont="1" applyFill="1" applyBorder="1" applyAlignment="1">
      <alignment horizontal="center" vertical="center" readingOrder="2"/>
    </xf>
    <xf numFmtId="0" fontId="4" fillId="6" borderId="39" xfId="1" applyFont="1" applyFill="1" applyBorder="1" applyAlignment="1">
      <alignment horizontal="center" vertical="center" readingOrder="2"/>
    </xf>
    <xf numFmtId="0" fontId="14" fillId="6" borderId="15" xfId="1" applyFont="1" applyFill="1" applyBorder="1" applyAlignment="1">
      <alignment horizontal="center" vertical="center" readingOrder="1"/>
    </xf>
    <xf numFmtId="0" fontId="14" fillId="6" borderId="37" xfId="1" applyFont="1" applyFill="1" applyBorder="1" applyAlignment="1">
      <alignment horizontal="center" vertical="center" readingOrder="1"/>
    </xf>
    <xf numFmtId="49" fontId="4" fillId="3" borderId="7" xfId="1" applyNumberFormat="1" applyFont="1" applyFill="1" applyBorder="1" applyAlignment="1">
      <alignment horizontal="center" vertical="center" wrapText="1" readingOrder="2"/>
    </xf>
    <xf numFmtId="49" fontId="4" fillId="3" borderId="16" xfId="1" applyNumberFormat="1" applyFont="1" applyFill="1" applyBorder="1" applyAlignment="1">
      <alignment horizontal="center" vertical="center" wrapText="1" readingOrder="2"/>
    </xf>
    <xf numFmtId="49" fontId="4" fillId="3" borderId="19" xfId="1" applyNumberFormat="1" applyFont="1" applyFill="1" applyBorder="1" applyAlignment="1">
      <alignment horizontal="center" vertical="center" wrapText="1" readingOrder="2"/>
    </xf>
    <xf numFmtId="0" fontId="14" fillId="3" borderId="24" xfId="1" applyFont="1" applyFill="1" applyBorder="1" applyAlignment="1">
      <alignment horizontal="center" vertical="center" wrapText="1" readingOrder="2"/>
    </xf>
    <xf numFmtId="0" fontId="14" fillId="3" borderId="31" xfId="1" applyFont="1" applyFill="1" applyBorder="1" applyAlignment="1">
      <alignment horizontal="center" vertical="center" wrapText="1" readingOrder="2"/>
    </xf>
    <xf numFmtId="0" fontId="14" fillId="3" borderId="22" xfId="1" applyFont="1" applyFill="1" applyBorder="1" applyAlignment="1">
      <alignment horizontal="center" vertical="center" wrapText="1" readingOrder="2"/>
    </xf>
    <xf numFmtId="0" fontId="4" fillId="3" borderId="8" xfId="1" applyFont="1" applyFill="1" applyBorder="1" applyAlignment="1">
      <alignment horizontal="center" vertical="center" wrapText="1" readingOrder="1"/>
    </xf>
    <xf numFmtId="0" fontId="4" fillId="3" borderId="20" xfId="1" applyFont="1" applyFill="1" applyBorder="1" applyAlignment="1">
      <alignment horizontal="center" vertical="center" wrapText="1" readingOrder="1"/>
    </xf>
    <xf numFmtId="49" fontId="14" fillId="3" borderId="9" xfId="1" applyNumberFormat="1" applyFont="1" applyFill="1" applyBorder="1" applyAlignment="1">
      <alignment horizontal="center" vertical="center" wrapText="1" readingOrder="1"/>
    </xf>
    <xf numFmtId="49" fontId="14" fillId="3" borderId="18" xfId="1" applyNumberFormat="1" applyFont="1" applyFill="1" applyBorder="1" applyAlignment="1">
      <alignment horizontal="center" vertical="center" wrapText="1" readingOrder="1"/>
    </xf>
    <xf numFmtId="49" fontId="14" fillId="3" borderId="21" xfId="1" applyNumberFormat="1" applyFont="1" applyFill="1" applyBorder="1" applyAlignment="1">
      <alignment horizontal="center" vertical="center" wrapText="1" readingOrder="1"/>
    </xf>
    <xf numFmtId="0" fontId="14" fillId="3" borderId="23" xfId="1" applyFont="1" applyFill="1" applyBorder="1" applyAlignment="1">
      <alignment horizontal="center" vertical="center" wrapText="1" readingOrder="1"/>
    </xf>
    <xf numFmtId="0" fontId="4" fillId="3" borderId="38" xfId="1" applyFont="1" applyFill="1" applyBorder="1" applyAlignment="1">
      <alignment horizontal="center" vertical="center" wrapText="1" readingOrder="1"/>
    </xf>
    <xf numFmtId="0" fontId="4" fillId="3" borderId="7" xfId="1" applyFont="1" applyFill="1" applyBorder="1" applyAlignment="1">
      <alignment horizontal="center" vertical="center" wrapText="1"/>
    </xf>
    <xf numFmtId="0" fontId="4" fillId="3" borderId="19" xfId="1" applyFont="1" applyFill="1" applyBorder="1" applyAlignment="1">
      <alignment horizontal="center" vertical="center" wrapText="1"/>
    </xf>
    <xf numFmtId="0" fontId="14" fillId="3" borderId="27" xfId="1" applyFont="1" applyFill="1" applyBorder="1" applyAlignment="1">
      <alignment horizontal="center" vertical="center" wrapText="1" readingOrder="1"/>
    </xf>
    <xf numFmtId="0" fontId="1" fillId="3" borderId="27" xfId="1" applyFont="1" applyFill="1" applyBorder="1" applyAlignment="1">
      <alignment readingOrder="1"/>
    </xf>
    <xf numFmtId="0" fontId="14" fillId="3" borderId="9" xfId="1" applyFont="1" applyFill="1" applyBorder="1" applyAlignment="1">
      <alignment horizontal="center" vertical="center" wrapText="1"/>
    </xf>
    <xf numFmtId="0" fontId="14" fillId="3" borderId="21" xfId="1" applyFont="1" applyFill="1" applyBorder="1" applyAlignment="1">
      <alignment horizontal="center" vertical="center" wrapText="1"/>
    </xf>
    <xf numFmtId="0" fontId="15" fillId="3" borderId="27" xfId="1" applyFont="1" applyFill="1" applyBorder="1" applyAlignment="1">
      <alignment horizontal="center" vertical="center" wrapText="1" readingOrder="1"/>
    </xf>
    <xf numFmtId="0" fontId="1" fillId="3" borderId="27" xfId="1" applyFont="1" applyFill="1" applyBorder="1" applyAlignment="1"/>
    <xf numFmtId="0" fontId="14" fillId="3" borderId="11" xfId="17" applyFont="1" applyFill="1" applyBorder="1" applyAlignment="1">
      <alignment horizontal="center" vertical="center" wrapText="1" readingOrder="1"/>
    </xf>
    <xf numFmtId="0" fontId="15" fillId="3" borderId="23" xfId="1" applyFont="1" applyFill="1" applyBorder="1" applyAlignment="1">
      <alignment horizontal="center" vertical="center" wrapText="1"/>
    </xf>
    <xf numFmtId="0" fontId="14" fillId="3" borderId="41" xfId="1" applyFont="1" applyFill="1" applyBorder="1" applyAlignment="1">
      <alignment horizontal="center" vertical="center" readingOrder="1"/>
    </xf>
    <xf numFmtId="0" fontId="14" fillId="3" borderId="26" xfId="1" applyFont="1" applyFill="1" applyBorder="1" applyAlignment="1">
      <alignment horizontal="center" vertical="center" readingOrder="1"/>
    </xf>
    <xf numFmtId="164" fontId="14" fillId="6" borderId="12" xfId="1" applyNumberFormat="1" applyFont="1" applyFill="1" applyBorder="1" applyAlignment="1">
      <alignment horizontal="center" vertical="center" readingOrder="1"/>
    </xf>
    <xf numFmtId="164" fontId="14" fillId="6" borderId="48" xfId="1" applyNumberFormat="1" applyFont="1" applyFill="1" applyBorder="1" applyAlignment="1">
      <alignment horizontal="center" vertical="center" readingOrder="1"/>
    </xf>
    <xf numFmtId="0" fontId="4" fillId="3" borderId="45" xfId="1" applyFont="1" applyFill="1" applyBorder="1" applyAlignment="1">
      <alignment horizontal="center" vertical="center" wrapText="1" readingOrder="2"/>
    </xf>
    <xf numFmtId="0" fontId="4" fillId="3" borderId="39" xfId="1" applyFont="1" applyFill="1" applyBorder="1" applyAlignment="1">
      <alignment horizontal="center" vertical="center" wrapText="1" readingOrder="2"/>
    </xf>
    <xf numFmtId="0" fontId="15" fillId="3" borderId="25" xfId="1" applyFont="1" applyFill="1" applyBorder="1" applyAlignment="1">
      <alignment horizontal="center" vertical="center" wrapText="1"/>
    </xf>
    <xf numFmtId="1" fontId="14" fillId="3" borderId="44" xfId="1" applyNumberFormat="1" applyFont="1" applyFill="1" applyBorder="1" applyAlignment="1">
      <alignment horizontal="center" vertical="center" wrapText="1" readingOrder="1"/>
    </xf>
    <xf numFmtId="1" fontId="14" fillId="3" borderId="37" xfId="1" applyNumberFormat="1" applyFont="1" applyFill="1" applyBorder="1" applyAlignment="1">
      <alignment horizontal="center" vertical="center" wrapText="1" readingOrder="1"/>
    </xf>
    <xf numFmtId="0" fontId="12" fillId="0" borderId="0" xfId="2" applyFont="1" applyAlignment="1">
      <alignment horizontal="center"/>
    </xf>
    <xf numFmtId="0" fontId="4" fillId="0" borderId="0" xfId="4" applyFont="1" applyAlignment="1">
      <alignment horizontal="center" wrapText="1"/>
    </xf>
    <xf numFmtId="0" fontId="4" fillId="0" borderId="0" xfId="4" applyFont="1" applyAlignment="1">
      <alignment horizontal="center"/>
    </xf>
    <xf numFmtId="1" fontId="5" fillId="3" borderId="44" xfId="1" applyNumberFormat="1" applyFont="1" applyFill="1" applyBorder="1" applyAlignment="1">
      <alignment horizontal="center" vertical="center" wrapText="1" readingOrder="1"/>
    </xf>
    <xf numFmtId="1" fontId="5" fillId="3" borderId="37" xfId="1" applyNumberFormat="1" applyFont="1" applyFill="1" applyBorder="1" applyAlignment="1">
      <alignment horizontal="center" vertical="center" wrapText="1" readingOrder="1"/>
    </xf>
    <xf numFmtId="0" fontId="14" fillId="3" borderId="12" xfId="1" applyFont="1" applyFill="1" applyBorder="1" applyAlignment="1">
      <alignment horizontal="center" vertical="center" wrapText="1" readingOrder="1"/>
    </xf>
    <xf numFmtId="0" fontId="14" fillId="3" borderId="48" xfId="1" applyFont="1" applyFill="1" applyBorder="1" applyAlignment="1">
      <alignment horizontal="center" vertical="center" wrapText="1" readingOrder="1"/>
    </xf>
    <xf numFmtId="0" fontId="4" fillId="3" borderId="27" xfId="1" applyFont="1" applyFill="1" applyBorder="1" applyAlignment="1">
      <alignment horizontal="center" vertical="center" wrapText="1" readingOrder="2"/>
    </xf>
    <xf numFmtId="0" fontId="4" fillId="3" borderId="38" xfId="1" applyFont="1" applyFill="1" applyBorder="1" applyAlignment="1">
      <alignment horizontal="center" vertical="center" wrapText="1" readingOrder="2"/>
    </xf>
    <xf numFmtId="0" fontId="14" fillId="0" borderId="12" xfId="1" applyFont="1" applyFill="1" applyBorder="1" applyAlignment="1">
      <alignment horizontal="center" vertical="center" readingOrder="1"/>
    </xf>
    <xf numFmtId="0" fontId="14" fillId="0" borderId="48" xfId="1" applyFont="1" applyFill="1" applyBorder="1" applyAlignment="1">
      <alignment horizontal="center" vertical="center" readingOrder="1"/>
    </xf>
    <xf numFmtId="0" fontId="4" fillId="3" borderId="24" xfId="1" applyFont="1" applyFill="1" applyBorder="1" applyAlignment="1">
      <alignment horizontal="center" vertical="center" wrapText="1" readingOrder="2"/>
    </xf>
    <xf numFmtId="0" fontId="4" fillId="3" borderId="31" xfId="1" applyFont="1" applyFill="1" applyBorder="1" applyAlignment="1">
      <alignment horizontal="center" vertical="center" wrapText="1" readingOrder="2"/>
    </xf>
    <xf numFmtId="0" fontId="4" fillId="3" borderId="22" xfId="1" applyFont="1" applyFill="1" applyBorder="1" applyAlignment="1">
      <alignment horizontal="center" vertical="center" wrapText="1" readingOrder="2"/>
    </xf>
    <xf numFmtId="49" fontId="4" fillId="3" borderId="45" xfId="1" applyNumberFormat="1" applyFont="1" applyFill="1" applyBorder="1" applyAlignment="1">
      <alignment horizontal="center" vertical="center" wrapText="1" readingOrder="2"/>
    </xf>
    <xf numFmtId="49" fontId="4" fillId="3" borderId="39" xfId="1" applyNumberFormat="1" applyFont="1" applyFill="1" applyBorder="1" applyAlignment="1">
      <alignment horizontal="center" vertical="center" wrapText="1" readingOrder="2"/>
    </xf>
    <xf numFmtId="49" fontId="14" fillId="3" borderId="44" xfId="1" applyNumberFormat="1" applyFont="1" applyFill="1" applyBorder="1" applyAlignment="1">
      <alignment horizontal="center" vertical="center" wrapText="1" readingOrder="1"/>
    </xf>
    <xf numFmtId="49" fontId="14" fillId="3" borderId="37" xfId="1" applyNumberFormat="1" applyFont="1" applyFill="1" applyBorder="1" applyAlignment="1">
      <alignment horizontal="center" vertical="center" wrapText="1" readingOrder="1"/>
    </xf>
    <xf numFmtId="0" fontId="14" fillId="3" borderId="44" xfId="1" applyFont="1" applyFill="1" applyBorder="1" applyAlignment="1">
      <alignment horizontal="center" vertical="center" wrapText="1" readingOrder="1"/>
    </xf>
    <xf numFmtId="0" fontId="14" fillId="3" borderId="45" xfId="1" applyFont="1" applyFill="1" applyBorder="1" applyAlignment="1">
      <alignment horizontal="center" vertical="center" wrapText="1" readingOrder="1"/>
    </xf>
    <xf numFmtId="0" fontId="4" fillId="3" borderId="44" xfId="1" applyFont="1" applyFill="1" applyBorder="1" applyAlignment="1">
      <alignment horizontal="center" vertical="center" wrapText="1" readingOrder="1"/>
    </xf>
    <xf numFmtId="0" fontId="4" fillId="3" borderId="45" xfId="1" applyFont="1" applyFill="1" applyBorder="1" applyAlignment="1">
      <alignment horizontal="center" vertical="center" wrapText="1" readingOrder="1"/>
    </xf>
    <xf numFmtId="0" fontId="4" fillId="6" borderId="0" xfId="4" applyFont="1" applyFill="1" applyAlignment="1">
      <alignment horizontal="center" vertical="center" wrapText="1"/>
    </xf>
    <xf numFmtId="0" fontId="83" fillId="3" borderId="81" xfId="1" applyFont="1" applyFill="1" applyBorder="1" applyAlignment="1">
      <alignment horizontal="center" vertical="center" wrapText="1" readingOrder="2"/>
    </xf>
    <xf numFmtId="0" fontId="1" fillId="3" borderId="81" xfId="1" applyFont="1" applyFill="1" applyBorder="1" applyAlignment="1">
      <alignment horizontal="left" vertical="center" wrapText="1" readingOrder="1"/>
    </xf>
    <xf numFmtId="0" fontId="83" fillId="3" borderId="81" xfId="1" applyFont="1" applyFill="1" applyBorder="1" applyAlignment="1">
      <alignment horizontal="right" vertical="center" wrapText="1" readingOrder="2"/>
    </xf>
    <xf numFmtId="0" fontId="83" fillId="3" borderId="83" xfId="1" applyFont="1" applyFill="1" applyBorder="1" applyAlignment="1">
      <alignment horizontal="right" vertical="center" wrapText="1" readingOrder="2"/>
    </xf>
    <xf numFmtId="0" fontId="83" fillId="3" borderId="82" xfId="1" applyFont="1" applyFill="1" applyBorder="1" applyAlignment="1">
      <alignment horizontal="right" vertical="center" wrapText="1" readingOrder="2"/>
    </xf>
    <xf numFmtId="0" fontId="87" fillId="0" borderId="0" xfId="1" applyFont="1" applyAlignment="1">
      <alignment horizontal="center" vertical="center" wrapText="1" readingOrder="2"/>
    </xf>
    <xf numFmtId="0" fontId="87" fillId="0" borderId="0" xfId="1" applyFont="1" applyAlignment="1">
      <alignment horizontal="center" vertical="center" readingOrder="2"/>
    </xf>
    <xf numFmtId="0" fontId="1" fillId="3" borderId="81" xfId="1" applyFont="1" applyFill="1" applyBorder="1" applyAlignment="1">
      <alignment horizontal="center" vertical="center" wrapText="1" readingOrder="1"/>
    </xf>
    <xf numFmtId="0" fontId="16" fillId="3" borderId="81" xfId="1" applyFont="1" applyFill="1" applyBorder="1" applyAlignment="1">
      <alignment horizontal="center" vertical="center" wrapText="1" readingOrder="1"/>
    </xf>
    <xf numFmtId="0" fontId="1" fillId="3" borderId="83" xfId="1" applyFont="1" applyFill="1" applyBorder="1" applyAlignment="1">
      <alignment horizontal="left" vertical="center" wrapText="1" readingOrder="1"/>
    </xf>
    <xf numFmtId="0" fontId="1" fillId="3" borderId="82" xfId="1" applyFont="1" applyFill="1" applyBorder="1" applyAlignment="1">
      <alignment horizontal="left" vertical="center" wrapText="1" readingOrder="1"/>
    </xf>
    <xf numFmtId="0" fontId="1" fillId="3" borderId="81" xfId="1" applyFont="1" applyFill="1" applyBorder="1" applyAlignment="1">
      <alignment vertical="center" wrapText="1" readingOrder="1"/>
    </xf>
    <xf numFmtId="0" fontId="4" fillId="6" borderId="13" xfId="0" applyFont="1" applyFill="1" applyBorder="1" applyAlignment="1">
      <alignment horizontal="center" vertical="center" readingOrder="2"/>
    </xf>
    <xf numFmtId="3" fontId="1" fillId="6" borderId="14" xfId="0" applyNumberFormat="1" applyFont="1" applyFill="1" applyBorder="1" applyAlignment="1">
      <alignment horizontal="right" vertical="center" indent="1"/>
    </xf>
    <xf numFmtId="164" fontId="1" fillId="6" borderId="14" xfId="0" applyNumberFormat="1" applyFont="1" applyFill="1" applyBorder="1" applyAlignment="1">
      <alignment horizontal="right" vertical="center" indent="1"/>
    </xf>
    <xf numFmtId="3" fontId="14" fillId="6" borderId="14" xfId="0" applyNumberFormat="1" applyFont="1" applyFill="1" applyBorder="1" applyAlignment="1">
      <alignment horizontal="right" vertical="center" indent="1"/>
    </xf>
    <xf numFmtId="164" fontId="14" fillId="6" borderId="14" xfId="0" applyNumberFormat="1" applyFont="1" applyFill="1" applyBorder="1" applyAlignment="1">
      <alignment horizontal="right" vertical="center" indent="1"/>
    </xf>
    <xf numFmtId="0" fontId="4" fillId="0" borderId="16" xfId="0" applyFont="1" applyBorder="1" applyAlignment="1">
      <alignment horizontal="center" vertical="center" readingOrder="2"/>
    </xf>
    <xf numFmtId="3" fontId="1" fillId="0" borderId="17" xfId="0" applyNumberFormat="1" applyFont="1" applyBorder="1" applyAlignment="1">
      <alignment horizontal="right" vertical="center" indent="1"/>
    </xf>
    <xf numFmtId="164" fontId="1" fillId="0" borderId="17" xfId="0" applyNumberFormat="1" applyFont="1" applyBorder="1" applyAlignment="1">
      <alignment horizontal="right" vertical="center" indent="1"/>
    </xf>
    <xf numFmtId="3" fontId="14" fillId="0" borderId="17" xfId="0" applyNumberFormat="1" applyFont="1" applyBorder="1" applyAlignment="1">
      <alignment horizontal="right" vertical="center" indent="1"/>
    </xf>
    <xf numFmtId="164" fontId="14" fillId="0" borderId="17" xfId="0" applyNumberFormat="1" applyFont="1" applyBorder="1" applyAlignment="1">
      <alignment horizontal="right" vertical="center" indent="1"/>
    </xf>
    <xf numFmtId="0" fontId="4" fillId="6" borderId="16" xfId="0" applyFont="1" applyFill="1" applyBorder="1" applyAlignment="1">
      <alignment horizontal="center" vertical="center" readingOrder="2"/>
    </xf>
    <xf numFmtId="3" fontId="1" fillId="6" borderId="17" xfId="0" applyNumberFormat="1" applyFont="1" applyFill="1" applyBorder="1" applyAlignment="1">
      <alignment horizontal="right" vertical="center" indent="1"/>
    </xf>
    <xf numFmtId="164" fontId="1" fillId="6" borderId="17" xfId="0" applyNumberFormat="1" applyFont="1" applyFill="1" applyBorder="1" applyAlignment="1">
      <alignment horizontal="right" vertical="center" indent="1"/>
    </xf>
    <xf numFmtId="3" fontId="14" fillId="6" borderId="17" xfId="0" applyNumberFormat="1" applyFont="1" applyFill="1" applyBorder="1" applyAlignment="1">
      <alignment horizontal="right" vertical="center" indent="1"/>
    </xf>
    <xf numFmtId="164" fontId="14" fillId="6" borderId="17" xfId="0" applyNumberFormat="1" applyFont="1" applyFill="1" applyBorder="1" applyAlignment="1">
      <alignment horizontal="right" vertical="center" indent="1"/>
    </xf>
    <xf numFmtId="164" fontId="1" fillId="0" borderId="0" xfId="1" applyNumberFormat="1" applyFont="1"/>
    <xf numFmtId="0" fontId="4" fillId="3" borderId="19" xfId="0" applyFont="1" applyFill="1" applyBorder="1" applyAlignment="1">
      <alignment horizontal="center" vertical="center" readingOrder="2"/>
    </xf>
    <xf numFmtId="3" fontId="1" fillId="3" borderId="20" xfId="0" applyNumberFormat="1" applyFont="1" applyFill="1" applyBorder="1" applyAlignment="1">
      <alignment horizontal="right" vertical="center" indent="1"/>
    </xf>
    <xf numFmtId="164" fontId="1" fillId="3" borderId="20" xfId="0" applyNumberFormat="1" applyFont="1" applyFill="1" applyBorder="1" applyAlignment="1">
      <alignment horizontal="right" vertical="center" indent="1"/>
    </xf>
    <xf numFmtId="3" fontId="14" fillId="3" borderId="20" xfId="0" applyNumberFormat="1" applyFont="1" applyFill="1" applyBorder="1" applyAlignment="1">
      <alignment horizontal="right" vertical="center" indent="1"/>
    </xf>
    <xf numFmtId="164" fontId="14" fillId="3" borderId="20" xfId="0" applyNumberFormat="1" applyFont="1" applyFill="1" applyBorder="1" applyAlignment="1">
      <alignment horizontal="right" vertical="center" indent="1"/>
    </xf>
    <xf numFmtId="164" fontId="1" fillId="3" borderId="20" xfId="0" applyNumberFormat="1" applyFont="1" applyFill="1" applyBorder="1" applyAlignment="1">
      <alignment vertical="center"/>
    </xf>
    <xf numFmtId="3" fontId="1" fillId="3" borderId="20" xfId="0" applyNumberFormat="1" applyFont="1" applyFill="1" applyBorder="1" applyAlignment="1">
      <alignment vertical="center"/>
    </xf>
    <xf numFmtId="164" fontId="1" fillId="0" borderId="0" xfId="1" applyNumberFormat="1" applyFont="1" applyAlignment="1">
      <alignment vertical="center"/>
    </xf>
  </cellXfs>
  <cellStyles count="51">
    <cellStyle name="Comma 2" xfId="35"/>
    <cellStyle name="H1" xfId="2"/>
    <cellStyle name="H1 2" xfId="3"/>
    <cellStyle name="H1 2 2" xfId="27"/>
    <cellStyle name="H2" xfId="4"/>
    <cellStyle name="H2 2" xfId="5"/>
    <cellStyle name="H2 2 2" xfId="28"/>
    <cellStyle name="had" xfId="6"/>
    <cellStyle name="had 2" xfId="26"/>
    <cellStyle name="had 2 2" xfId="36"/>
    <cellStyle name="had0" xfId="7"/>
    <cellStyle name="Had1" xfId="8"/>
    <cellStyle name="Had2" xfId="9"/>
    <cellStyle name="Had3" xfId="10"/>
    <cellStyle name="Had3 2" xfId="37"/>
    <cellStyle name="Had3 2 2" xfId="38"/>
    <cellStyle name="Hyperlink" xfId="50" builtinId="8"/>
    <cellStyle name="inxa" xfId="11"/>
    <cellStyle name="inxa 2" xfId="39"/>
    <cellStyle name="inxe" xfId="12"/>
    <cellStyle name="Normal" xfId="0" builtinId="0"/>
    <cellStyle name="Normal 2" xfId="1"/>
    <cellStyle name="Normal 2 2" xfId="29"/>
    <cellStyle name="Normal 2 3" xfId="40"/>
    <cellStyle name="Normal 3" xfId="33"/>
    <cellStyle name="Normal 4" xfId="34"/>
    <cellStyle name="Normal 5" xfId="41"/>
    <cellStyle name="Normal 5 2" xfId="42"/>
    <cellStyle name="Normal 6" xfId="43"/>
    <cellStyle name="Normal 6 2" xfId="44"/>
    <cellStyle name="Normal 7" xfId="45"/>
    <cellStyle name="NotA" xfId="13"/>
    <cellStyle name="Note 2" xfId="22"/>
    <cellStyle name="T1" xfId="14"/>
    <cellStyle name="T1 2" xfId="24"/>
    <cellStyle name="T1 2 2" xfId="46"/>
    <cellStyle name="T2" xfId="15"/>
    <cellStyle name="T2 2" xfId="30"/>
    <cellStyle name="T2 2 2" xfId="31"/>
    <cellStyle name="T2 3" xfId="23"/>
    <cellStyle name="T2 4" xfId="47"/>
    <cellStyle name="Total 2" xfId="25"/>
    <cellStyle name="Total1" xfId="16"/>
    <cellStyle name="TXT1" xfId="17"/>
    <cellStyle name="TXT1 2" xfId="32"/>
    <cellStyle name="TXT1 2 2" xfId="48"/>
    <cellStyle name="TXT1_ATT50328" xfId="49"/>
    <cellStyle name="TXT2" xfId="18"/>
    <cellStyle name="TXT3" xfId="19"/>
    <cellStyle name="TXT4" xfId="20"/>
    <cellStyle name="TXT5" xfId="21"/>
  </cellStyles>
  <dxfs count="2266">
    <dxf>
      <font>
        <b/>
        <i val="0"/>
        <strike val="0"/>
        <condense val="0"/>
        <extend val="0"/>
        <outline val="0"/>
        <shadow val="0"/>
        <u val="none"/>
        <vertAlign val="baseline"/>
        <sz val="10"/>
        <color auto="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auto="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auto="1"/>
        <name val="Arial"/>
        <scheme val="none"/>
      </font>
      <numFmt numFmtId="164" formatCode="0.0"/>
      <alignment horizontal="right" vertical="center" textRotation="0" wrapText="0" indent="1" justifyLastLine="0" shrinkToFit="0" readingOrder="0"/>
      <border diagonalUp="0" diagonalDown="0" outline="0">
        <left/>
        <right style="medium">
          <color theme="0"/>
        </right>
        <top style="medium">
          <color theme="0"/>
        </top>
        <bottom style="medium">
          <color theme="0"/>
        </bottom>
      </border>
    </dxf>
    <dxf>
      <font>
        <b/>
        <i val="0"/>
        <strike val="0"/>
        <condense val="0"/>
        <extend val="0"/>
        <outline val="0"/>
        <shadow val="0"/>
        <u val="none"/>
        <vertAlign val="baseline"/>
        <sz val="10"/>
        <color auto="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164" formatCode="0.0"/>
      <alignment horizontal="right" vertical="center" textRotation="0" wrapText="0" indent="1" justifyLastLine="0" shrinkToFit="0" readingOrder="0"/>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2"/>
        <color auto="1"/>
        <name val="Arial"/>
        <scheme val="none"/>
      </font>
      <alignment horizontal="center" vertical="center" textRotation="0" wrapText="0" indent="0" justifyLastLine="0" shrinkToFit="0" readingOrder="2"/>
      <border diagonalUp="0" diagonalDown="0" outline="0">
        <left/>
        <right style="medium">
          <color theme="0"/>
        </right>
        <top style="medium">
          <color theme="0"/>
        </top>
        <bottom style="medium">
          <color theme="0"/>
        </bottom>
      </border>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protection locked="1" hidden="0"/>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protection locked="1" hidden="0"/>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protection locked="1" hidden="0"/>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2"/>
        <color auto="1"/>
        <name val="Arial"/>
        <scheme val="none"/>
      </font>
      <numFmt numFmtId="30" formatCode="@"/>
      <fill>
        <patternFill patternType="solid">
          <fgColor indexed="64"/>
          <bgColor theme="0"/>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border diagonalUp="0" diagonalDown="0">
        <left/>
        <right/>
        <top style="thin">
          <color auto="1"/>
        </top>
        <bottom style="thin">
          <color auto="1"/>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style="medium">
          <color theme="0"/>
        </vertical>
        <horizontal style="medium">
          <color theme="0"/>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border>
    </dxf>
    <dxf>
      <font>
        <b/>
        <i val="0"/>
        <strike val="0"/>
        <condense val="0"/>
        <extend val="0"/>
        <outline val="0"/>
        <shadow val="0"/>
        <u val="none"/>
        <vertAlign val="baseline"/>
        <sz val="12"/>
        <color auto="1"/>
        <name val="Arial"/>
        <scheme val="none"/>
      </font>
      <numFmt numFmtId="30" formatCode="@"/>
      <fill>
        <patternFill patternType="solid">
          <fgColor indexed="64"/>
          <bgColor theme="0"/>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style="medium">
          <color theme="0"/>
        </vertical>
        <horizontal style="medium">
          <color theme="0"/>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border>
        <top style="medium">
          <color theme="0"/>
        </top>
      </border>
    </dxf>
    <dxf>
      <border diagonalUp="0" diagonalDown="0">
        <left style="medium">
          <color theme="0"/>
        </left>
        <right/>
        <top style="thin">
          <color theme="1"/>
        </top>
        <bottom style="thin">
          <color theme="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theme="0"/>
        </left>
        <right style="medium">
          <color theme="0"/>
        </right>
        <top/>
        <bottom/>
        <vertical style="medium">
          <color theme="0"/>
        </vertical>
        <horizontal style="medium">
          <color theme="0"/>
        </horizontal>
      </border>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style="thin">
          <color indexed="64"/>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relativeIndent="0" justifyLastLine="0" shrinkToFit="0" readingOrder="1"/>
    </dxf>
    <dxf>
      <alignment horizontal="center" vertical="center" textRotation="0" indent="0" justifyLastLine="0" shrinkToFit="0"/>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theme="0"/>
        </patternFill>
      </fill>
      <alignment horizontal="left" vertical="center" textRotation="0" wrapText="1"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strike val="0"/>
        <outline val="0"/>
        <shadow val="0"/>
        <u val="none"/>
        <vertAlign val="baseline"/>
        <sz val="10"/>
        <color theme="1"/>
        <name val="Arial"/>
        <scheme val="none"/>
      </font>
      <fill>
        <patternFill>
          <fgColor indexed="64"/>
          <bgColor theme="0"/>
        </patternFill>
      </fill>
      <alignment horizontal="right" vertical="center" textRotation="0" wrapText="1" indent="1" justifyLastLine="0" shrinkToFit="0" readingOrder="1"/>
    </dxf>
    <dxf>
      <font>
        <strike val="0"/>
        <outline val="0"/>
        <shadow val="0"/>
        <u val="none"/>
        <vertAlign val="baseline"/>
        <sz val="10"/>
        <color theme="1"/>
        <name val="Arial"/>
        <scheme val="none"/>
      </font>
      <fill>
        <patternFill patternType="none">
          <fgColor indexed="64"/>
          <bgColor theme="0"/>
        </patternFill>
      </fill>
      <alignment horizontal="right" vertical="center" textRotation="0" wrapText="1" indent="1" justifyLastLine="0" shrinkToFit="0" readingOrder="1"/>
      <border diagonalUp="0" diagonalDown="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outline="0">
        <left style="medium">
          <color theme="0"/>
        </left>
        <right/>
        <top/>
        <bottom style="thin">
          <color indexed="64"/>
        </bottom>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thin">
          <color indexed="64"/>
        </bottom>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thin">
          <color indexed="64"/>
        </bottom>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right/>
        <top/>
        <bottom style="thin">
          <color indexed="64"/>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outline="0">
        <left/>
        <right/>
        <top/>
        <bottom style="thin">
          <color indexed="64"/>
        </bottom>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top style="thin">
          <color indexed="64"/>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auto="1"/>
        </left>
        <right style="medium">
          <color auto="1"/>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style="medium">
          <color theme="0"/>
        </right>
        <top/>
        <bottom/>
      </border>
    </dxf>
    <dxf>
      <font>
        <b/>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border outline="0">
        <top style="thin">
          <color indexed="64"/>
        </top>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bottom style="medium">
          <color theme="0"/>
        </bottom>
      </border>
    </dxf>
    <dxf>
      <alignment horizontal="right" vertical="center" textRotation="0" wrapText="0" indent="1" justifyLastLine="0" shrinkToFit="0"/>
    </dxf>
    <dxf>
      <font>
        <b/>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0"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right" vertical="center" textRotation="0" wrapText="0" indent="1" justifyLastLine="0" shrinkToFit="0" readingOrder="1"/>
      <border diagonalUp="0" diagonalDown="0" outline="0"/>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indexed="8"/>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indexed="8"/>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style="medium">
          <color theme="0"/>
        </left>
        <right style="medium">
          <color theme="0"/>
        </right>
        <top/>
        <bottom/>
      </border>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border>
        <top style="thin">
          <color auto="1"/>
        </top>
        <vertical/>
        <horizontal/>
      </border>
    </dxf>
    <dxf>
      <border diagonalUp="0" diagonalDown="0">
        <left style="medium">
          <color theme="0"/>
        </left>
        <right style="medium">
          <color theme="0"/>
        </right>
        <top/>
        <bottom/>
        <vertical style="medium">
          <color theme="0"/>
        </vertical>
        <horizontal style="medium">
          <color theme="0"/>
        </horizontal>
      </border>
    </dxf>
    <dxf>
      <border diagonalUp="0" diagonalDown="0">
        <left/>
        <right/>
        <top style="thin">
          <color indexed="64"/>
        </top>
        <bottom style="thin">
          <color indexed="64"/>
        </bottom>
      </border>
    </dxf>
    <dxf>
      <border diagonalUp="0" diagonalDown="0">
        <left style="medium">
          <color theme="0"/>
        </left>
        <right style="medium">
          <color theme="0"/>
        </right>
        <top/>
        <bottom/>
        <vertical style="medium">
          <color theme="0"/>
        </vertical>
        <horizontal style="medium">
          <color theme="0"/>
        </horizontal>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1" justifyLastLine="0" shrinkToFit="0" readingOrder="1"/>
      <border diagonalUp="0" diagonalDown="0" outline="0">
        <left/>
        <right style="medium">
          <color theme="0"/>
        </right>
        <top style="thin">
          <color indexed="64"/>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right" vertical="center" textRotation="0" wrapText="1" indent="1" justifyLastLine="0" shrinkToFit="0" readingOrder="2"/>
      <border diagonalUp="0" diagonalDown="0" outline="0">
        <left style="medium">
          <color theme="0"/>
        </left>
        <right/>
        <top style="thin">
          <color indexed="64"/>
        </top>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bottom style="thin">
          <color indexed="64"/>
        </bottom>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1" justifyLastLine="0" shrinkToFit="0" readingOrder="1"/>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right" vertical="center" textRotation="0" wrapText="1" indent="1" justifyLastLine="0" shrinkToFit="0" readingOrder="2"/>
      <border diagonalUp="0" diagonalDown="0" outline="0">
        <left style="medium">
          <color theme="0"/>
        </left>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protection locked="1" hidden="0"/>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1" justifyLastLine="0" shrinkToFit="0" readingOrder="1"/>
      <border diagonalUp="0" diagonalDown="0" outline="0">
        <left style="medium">
          <color theme="0"/>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diagonalUp="0" diagonalDown="0">
        <left/>
        <right/>
        <top style="thin">
          <color indexed="64"/>
        </top>
        <bottom style="thin">
          <color indexed="64"/>
        </bottom>
      </border>
    </dxf>
    <dxf>
      <border diagonalUp="0" diagonalDown="0">
        <left style="medium">
          <color theme="0"/>
        </left>
        <right style="medium">
          <color theme="0"/>
        </right>
        <top/>
        <bottom/>
        <vertical style="medium">
          <color theme="0"/>
        </vertical>
        <horizontal style="medium">
          <color theme="0"/>
        </horizontal>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alignment horizontal="right" vertical="center" textRotation="0" wrapText="0" indent="1" justifyLastLine="0" shrinkToFit="0" readingOrder="0"/>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theme="1"/>
        <name val="Arial"/>
        <scheme val="none"/>
      </font>
      <numFmt numFmtId="165" formatCode="#,##0.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right" vertical="center" textRotation="0" wrapText="0" indent="1" justifyLastLine="0" shrinkToFit="0" readingOrder="0"/>
      <border diagonalUp="0" diagonalDown="0" outline="0"/>
      <protection locked="1" hidden="0"/>
    </dxf>
    <dxf>
      <font>
        <b/>
        <i val="0"/>
        <strike val="0"/>
        <condense val="0"/>
        <extend val="0"/>
        <outline val="0"/>
        <shadow val="0"/>
        <u val="none"/>
        <vertAlign val="baseline"/>
        <sz val="12"/>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top style="thin">
          <color auto="1"/>
        </top>
        <vertical/>
        <horizontal/>
      </border>
    </dxf>
    <dxf>
      <font>
        <b/>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name val="Arial"/>
        <scheme val="none"/>
      </font>
      <fill>
        <patternFill>
          <fgColor indexed="64"/>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name val="Arial"/>
        <scheme val="none"/>
      </font>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vertical style="medium">
          <color theme="0"/>
        </vertical>
        <horizontal/>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vertical style="medium">
          <color theme="0"/>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vertical style="medium">
          <color theme="0"/>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vertical style="medium">
          <color theme="0"/>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top/>
        <bottom style="medium">
          <color theme="0"/>
        </bottom>
      </border>
    </dxf>
    <dxf>
      <border>
        <top style="thin">
          <color auto="1"/>
        </top>
        <vertical/>
        <horizontal/>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relativeIndent="0" justifyLastLine="0" shrinkToFit="0" readingOrder="0"/>
    </dxf>
    <dxf>
      <border outline="0">
        <bottom style="thin">
          <color indexed="64"/>
        </bottom>
      </border>
    </dxf>
    <dxf>
      <border outline="0">
        <bottom style="medium">
          <color theme="0"/>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top/>
        <bottom style="medium">
          <color theme="0"/>
        </bottom>
      </border>
    </dxf>
    <dxf>
      <border>
        <top style="thin">
          <color auto="1"/>
        </top>
        <vertical/>
        <horizontal/>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relativeIndent="0" justifyLastLine="0" shrinkToFit="0" readingOrder="0"/>
    </dxf>
    <dxf>
      <border outline="0">
        <bottom style="thin">
          <color indexed="64"/>
        </bottom>
      </border>
    </dxf>
    <dxf>
      <border outline="0">
        <bottom style="medium">
          <color theme="0"/>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strike val="0"/>
        <outline val="0"/>
        <shadow val="0"/>
        <u val="none"/>
        <vertAlign val="baseline"/>
        <name val="Arial"/>
        <scheme val="none"/>
      </font>
      <alignment vertical="center"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protection locked="1" hidden="0"/>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sz val="10"/>
        <name val="Arial"/>
        <scheme val="none"/>
      </font>
      <alignment vertical="bottom" textRotation="0" wrapText="0" indent="0" justifyLastLine="0" shrinkToFit="0" readingOrder="0"/>
      <border diagonalUp="0" diagonalDown="0">
        <left style="medium">
          <color theme="0"/>
        </left>
        <right style="medium">
          <color theme="0"/>
        </right>
        <top/>
        <bottom/>
      </border>
    </dxf>
    <dxf>
      <font>
        <strike val="0"/>
        <outline val="0"/>
        <shadow val="0"/>
        <u val="none"/>
        <vertAlign val="baseline"/>
        <sz val="10"/>
        <name val="Arial"/>
        <scheme val="none"/>
      </font>
      <alignment vertical="bottom" textRotation="0" indent="0" justifyLastLine="0" shrinkToFit="0"/>
      <border diagonalUp="0" diagonalDown="0" outline="0"/>
    </dxf>
    <dxf>
      <font>
        <strike val="0"/>
        <outline val="0"/>
        <shadow val="0"/>
        <u val="none"/>
        <vertAlign val="baseline"/>
        <sz val="10"/>
        <name val="Arial"/>
        <scheme val="none"/>
      </font>
      <alignment vertical="bottom" textRotation="0" indent="0" justifyLastLine="0" shrinkToFit="0"/>
      <border diagonalUp="0" diagonalDown="0" outline="0">
        <left style="medium">
          <color theme="0"/>
        </left>
        <right style="medium">
          <color theme="0"/>
        </right>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name val="Arial"/>
        <scheme val="none"/>
      </font>
      <alignment vertical="center" textRotation="0" wrapText="0" indent="0" justifyLastLine="0" shrinkToFit="0"/>
      <border diagonalUp="0" diagonalDown="0" outline="0">
        <left style="medium">
          <color theme="0"/>
        </left>
        <right style="medium">
          <color theme="0"/>
        </right>
        <top/>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sz val="10"/>
        <color theme="1"/>
        <name val="Arial"/>
        <scheme val="none"/>
      </font>
      <alignment vertical="center" textRotation="0" indent="0" justifyLastLine="0" shrinkToFit="0"/>
      <border diagonalUp="0" diagonalDown="0" outline="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sz val="10"/>
        <color theme="1"/>
        <name val="Arial"/>
        <scheme val="none"/>
      </font>
      <alignment vertical="center" textRotation="0" indent="0" justifyLastLine="0" shrinkToFit="0"/>
      <border diagonalUp="0" diagonalDown="0" outline="0"/>
    </dxf>
    <dxf>
      <font>
        <strike val="0"/>
        <outline val="0"/>
        <shadow val="0"/>
        <u val="none"/>
        <vertAlign val="baseline"/>
        <sz val="10"/>
        <color theme="1"/>
        <name val="Arial"/>
        <scheme val="none"/>
      </font>
      <alignment vertical="center" textRotation="0" indent="0" justifyLastLine="0" shrinkToFit="0"/>
      <border diagonalUp="0" diagonalDown="0" outline="0">
        <left style="medium">
          <color theme="0"/>
        </left>
        <right style="medium">
          <color theme="0"/>
        </right>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0" indent="1"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b/>
        <strike val="0"/>
        <outline val="0"/>
        <shadow val="0"/>
        <u val="none"/>
        <vertAlign val="baseline"/>
        <sz val="11"/>
        <color theme="1"/>
        <name val="Arial"/>
        <scheme val="none"/>
      </font>
      <border diagonalUp="0" diagonalDown="0" outline="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name val="Arial"/>
        <scheme val="none"/>
      </font>
      <border diagonalUp="0" diagonalDown="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right style="medium">
          <color theme="0"/>
        </right>
        <top/>
        <bottom style="medium">
          <color theme="0"/>
        </bottom>
      </border>
    </dxf>
    <dxf>
      <border>
        <top style="thin">
          <color auto="1"/>
        </top>
        <vertical/>
        <horizontal/>
      </border>
    </dxf>
    <dxf>
      <font>
        <b/>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0"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top style="medium">
          <color theme="0"/>
        </top>
      </border>
    </dxf>
    <dxf>
      <border diagonalUp="0" diagonalDown="0">
        <left style="medium">
          <color theme="0"/>
        </left>
        <right/>
        <top style="thin">
          <color indexed="64"/>
        </top>
        <bottom style="thin">
          <color indexed="64"/>
        </bottom>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vertical style="medium">
          <color theme="0"/>
        </vertical>
        <horizontal style="medium">
          <color theme="0"/>
        </horizontal>
      </border>
    </dxf>
    <dxf>
      <font>
        <b val="0"/>
        <i val="0"/>
        <strike val="0"/>
        <condense val="0"/>
        <extend val="0"/>
        <outline val="0"/>
        <shadow val="0"/>
        <u val="none"/>
        <vertAlign val="baseline"/>
        <sz val="10"/>
        <color theme="1"/>
        <name val="Arial"/>
        <scheme val="none"/>
      </font>
      <alignment horizontal="left" vertical="center" textRotation="0" wrapText="0" indent="1" justifyLastLine="0" shrinkToFit="0" readingOrder="0"/>
      <border diagonalUp="0" diagonalDown="0" outline="0">
        <left style="medium">
          <color theme="0"/>
        </left>
        <right style="thin">
          <color indexed="64"/>
        </right>
        <top style="medium">
          <color theme="0"/>
        </top>
        <bottom/>
      </border>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outline="0">
        <left style="medium">
          <color theme="0"/>
        </left>
        <right/>
        <top style="medium">
          <color theme="0"/>
        </top>
        <bottom style="medium">
          <color theme="0"/>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2"/>
        <color theme="1"/>
        <name val="Arial"/>
        <scheme val="none"/>
      </font>
      <alignment horizontal="right" vertical="center" textRotation="0" wrapText="0" indent="1" justifyLastLine="0" shrinkToFit="0" readingOrder="2"/>
      <border diagonalUp="0" diagonalDown="0" outline="0">
        <left/>
        <right style="medium">
          <color theme="0"/>
        </right>
        <top style="medium">
          <color theme="0"/>
        </top>
        <bottom/>
      </border>
    </dxf>
    <dxf>
      <border>
        <top style="medium">
          <color theme="0"/>
        </top>
        <vertical/>
        <horizontal/>
      </border>
    </dxf>
    <dxf>
      <border diagonalUp="0" diagonalDown="0">
        <left/>
        <right/>
        <top style="thin">
          <color indexed="64"/>
        </top>
        <bottom style="thin">
          <color indexed="64"/>
        </bottom>
      </border>
    </dxf>
    <dxf>
      <alignment vertical="center" textRotation="0" wrapText="0" indent="0" justifyLastLine="0" shrinkToFit="0"/>
    </dxf>
    <dxf>
      <border outline="0">
        <bottom style="medium">
          <color theme="0"/>
        </bottom>
      </border>
    </dxf>
    <dxf>
      <alignment vertical="center" textRotation="0" wrapText="0" indent="0" justifyLastLine="0" shrinkToFit="0" readingOrder="0"/>
      <border diagonalUp="0" diagonalDown="0">
        <left style="medium">
          <color theme="0"/>
        </left>
        <right style="medium">
          <color theme="0"/>
        </right>
        <top/>
        <bottom/>
      </border>
    </dxf>
    <dxf>
      <border>
        <top style="thin">
          <color auto="1"/>
        </top>
      </border>
    </dxf>
    <dxf>
      <border>
        <top style="thin">
          <color auto="1"/>
        </top>
      </border>
    </dxf>
    <dxf>
      <fill>
        <patternFill>
          <bgColor theme="2"/>
        </patternFill>
      </fill>
    </dxf>
    <dxf>
      <border>
        <right/>
        <top/>
        <bottom/>
      </border>
    </dxf>
    <dxf>
      <font>
        <b/>
        <color theme="1"/>
      </font>
    </dxf>
    <dxf>
      <font>
        <b/>
        <color theme="1"/>
      </font>
      <border>
        <top style="thin">
          <color auto="1"/>
        </top>
      </border>
    </dxf>
    <dxf>
      <border>
        <top style="thin">
          <color auto="1"/>
        </top>
      </border>
    </dxf>
    <dxf>
      <font>
        <b/>
        <color theme="1"/>
      </font>
      <border>
        <top style="thin">
          <color theme="1"/>
        </top>
        <bottom style="thin">
          <color theme="1"/>
        </bottom>
      </border>
    </dxf>
  </dxfs>
  <tableStyles count="1" defaultTableStyle="VITAL" defaultPivotStyle="PivotStyleLight16">
    <tableStyle name="VITAL" pivot="0" count="8">
      <tableStyleElement type="headerRow" dxfId="2265"/>
      <tableStyleElement type="totalRow" dxfId="2264"/>
      <tableStyleElement type="firstColumn" dxfId="2263"/>
      <tableStyleElement type="lastColumn" dxfId="2262"/>
      <tableStyleElement type="firstRowStripe" dxfId="2261"/>
      <tableStyleElement type="secondRowStripe" dxfId="2260"/>
      <tableStyleElement type="firstColumnStripe" dxfId="2259"/>
      <tableStyleElement type="secondColumnStripe" dxfId="2258"/>
    </tableStyle>
  </tableStyles>
  <colors>
    <mruColors>
      <color rgb="FF993366"/>
      <color rgb="FF0000FF"/>
      <color rgb="FFEE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onnections" Target="connection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عقود الزواج وإشهادات الطلاق المسجلة حسب جنسية الزوج</a:t>
            </a:r>
          </a:p>
          <a:p>
            <a:pPr rtl="0">
              <a:defRPr sz="10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REGISTERED MARRIAGES AND DIVORCES BY HUSBAND'S NATIONALITY</a:t>
            </a:r>
          </a:p>
          <a:p>
            <a:pPr rtl="0">
              <a:defRPr sz="10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2010 - 2019</a:t>
            </a:r>
          </a:p>
        </c:rich>
      </c:tx>
      <c:layout>
        <c:manualLayout>
          <c:xMode val="edge"/>
          <c:yMode val="edge"/>
          <c:x val="0.15436476193230173"/>
          <c:y val="1.9666634934881844E-2"/>
        </c:manualLayout>
      </c:layout>
      <c:overlay val="0"/>
      <c:spPr>
        <a:noFill/>
        <a:ln w="25400">
          <a:noFill/>
        </a:ln>
      </c:spPr>
    </c:title>
    <c:autoTitleDeleted val="0"/>
    <c:plotArea>
      <c:layout>
        <c:manualLayout>
          <c:layoutTarget val="inner"/>
          <c:xMode val="edge"/>
          <c:yMode val="edge"/>
          <c:x val="6.6782062278934837E-2"/>
          <c:y val="0.12860167090512617"/>
          <c:w val="0.93321793772105233"/>
          <c:h val="0.79634758090471847"/>
        </c:manualLayout>
      </c:layout>
      <c:lineChart>
        <c:grouping val="standard"/>
        <c:varyColors val="0"/>
        <c:ser>
          <c:idx val="1"/>
          <c:order val="0"/>
          <c:tx>
            <c:strRef>
              <c:f>'1'!$A$22</c:f>
              <c:strCache>
                <c:ptCount val="1"/>
                <c:pt idx="0">
                  <c:v>إشهادات الطلاق غير قطريين
Divorces Non-Qataris </c:v>
                </c:pt>
              </c:strCache>
            </c:strRef>
          </c:tx>
          <c:spPr>
            <a:ln w="25400">
              <a:solidFill>
                <a:srgbClr val="FF00FF"/>
              </a:solidFill>
              <a:prstDash val="solid"/>
            </a:ln>
          </c:spPr>
          <c:marker>
            <c:symbol val="square"/>
            <c:size val="8"/>
            <c:spPr>
              <a:solidFill>
                <a:srgbClr val="FF00FF"/>
              </a:solidFill>
              <a:ln>
                <a:solidFill>
                  <a:srgbClr val="FF00FF"/>
                </a:solidFill>
                <a:prstDash val="solid"/>
              </a:ln>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01E-4E39-AAAB-D7CAD03418E5}"/>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01E-4E39-AAAB-D7CAD03418E5}"/>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1E-4E39-AAAB-D7CAD03418E5}"/>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01E-4E39-AAAB-D7CAD03418E5}"/>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01E-4E39-AAAB-D7CAD03418E5}"/>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01E-4E39-AAAB-D7CAD03418E5}"/>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01E-4E39-AAAB-D7CAD03418E5}"/>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01E-4E39-AAAB-D7CAD03418E5}"/>
                </c:ext>
              </c:extLst>
            </c:dLbl>
            <c:dLbl>
              <c:idx val="9"/>
              <c:layout>
                <c:manualLayout>
                  <c:x val="-4.7738059670325794E-2"/>
                  <c:y val="-2.360391479562482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01E-4E39-AAAB-D7CAD03418E5}"/>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'1'!$E$23:$E$32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'1'!$A$23:$A$32</c:f>
              <c:numCache>
                <c:formatCode>General</c:formatCode>
                <c:ptCount val="10"/>
                <c:pt idx="0">
                  <c:v>352</c:v>
                </c:pt>
                <c:pt idx="1">
                  <c:v>354</c:v>
                </c:pt>
                <c:pt idx="2">
                  <c:v>585</c:v>
                </c:pt>
                <c:pt idx="3">
                  <c:v>509</c:v>
                </c:pt>
                <c:pt idx="4">
                  <c:v>512</c:v>
                </c:pt>
                <c:pt idx="5">
                  <c:v>500</c:v>
                </c:pt>
                <c:pt idx="6">
                  <c:v>421</c:v>
                </c:pt>
                <c:pt idx="7">
                  <c:v>420</c:v>
                </c:pt>
                <c:pt idx="8">
                  <c:v>383</c:v>
                </c:pt>
                <c:pt idx="9">
                  <c:v>718</c:v>
                </c:pt>
              </c:numCache>
            </c:numRef>
          </c:val>
          <c:smooth val="0"/>
          <c:extLst xmlns:c16r2="http://schemas.microsoft.com/office/drawing/2015/06/chart">
            <c:ext xmlns:c16="http://schemas.microsoft.com/office/drawing/2014/chart" uri="{C3380CC4-5D6E-409C-BE32-E72D297353CC}">
              <c16:uniqueId val="{00000009-401E-4E39-AAAB-D7CAD03418E5}"/>
            </c:ext>
          </c:extLst>
        </c:ser>
        <c:ser>
          <c:idx val="2"/>
          <c:order val="1"/>
          <c:tx>
            <c:strRef>
              <c:f>'1'!$B$22</c:f>
              <c:strCache>
                <c:ptCount val="1"/>
                <c:pt idx="0">
                  <c:v>إشهادات الطلاق قطريون 
Divorces Qataris</c:v>
                </c:pt>
              </c:strCache>
            </c:strRef>
          </c:tx>
          <c:spPr>
            <a:ln w="25400">
              <a:solidFill>
                <a:srgbClr val="339966"/>
              </a:solidFill>
              <a:prstDash val="solid"/>
            </a:ln>
          </c:spPr>
          <c:marker>
            <c:symbol val="triangle"/>
            <c:size val="12"/>
            <c:spPr>
              <a:solidFill>
                <a:srgbClr val="008000"/>
              </a:solidFill>
              <a:ln>
                <a:solidFill>
                  <a:srgbClr val="008000"/>
                </a:solidFill>
                <a:prstDash val="solid"/>
              </a:ln>
            </c:spPr>
          </c:marker>
          <c:dLbls>
            <c:dLbl>
              <c:idx val="0"/>
              <c:layout>
                <c:manualLayout>
                  <c:x val="-5.6042431660546933E-2"/>
                  <c:y val="-9.7869890616004724E-3"/>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01E-4E39-AAAB-D7CAD03418E5}"/>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01E-4E39-AAAB-D7CAD03418E5}"/>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01E-4E39-AAAB-D7CAD03418E5}"/>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01E-4E39-AAAB-D7CAD03418E5}"/>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01E-4E39-AAAB-D7CAD03418E5}"/>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01E-4E39-AAAB-D7CAD03418E5}"/>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01E-4E39-AAAB-D7CAD03418E5}"/>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01E-4E39-AAAB-D7CAD03418E5}"/>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01E-4E39-AAAB-D7CAD03418E5}"/>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'1'!$E$23:$E$32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'1'!$B$23:$B$32</c:f>
              <c:numCache>
                <c:formatCode>General</c:formatCode>
                <c:ptCount val="10"/>
                <c:pt idx="0">
                  <c:v>820</c:v>
                </c:pt>
                <c:pt idx="1">
                  <c:v>754</c:v>
                </c:pt>
                <c:pt idx="2">
                  <c:v>835</c:v>
                </c:pt>
                <c:pt idx="3">
                  <c:v>817</c:v>
                </c:pt>
                <c:pt idx="4">
                  <c:v>803</c:v>
                </c:pt>
                <c:pt idx="5">
                  <c:v>807</c:v>
                </c:pt>
                <c:pt idx="6">
                  <c:v>730</c:v>
                </c:pt>
                <c:pt idx="7">
                  <c:v>786</c:v>
                </c:pt>
                <c:pt idx="8">
                  <c:v>799</c:v>
                </c:pt>
                <c:pt idx="9">
                  <c:v>1115</c:v>
                </c:pt>
              </c:numCache>
            </c:numRef>
          </c:val>
          <c:smooth val="0"/>
          <c:extLst xmlns:c16r2="http://schemas.microsoft.com/office/drawing/2015/06/chart">
            <c:ext xmlns:c16="http://schemas.microsoft.com/office/drawing/2014/chart" uri="{C3380CC4-5D6E-409C-BE32-E72D297353CC}">
              <c16:uniqueId val="{00000013-401E-4E39-AAAB-D7CAD03418E5}"/>
            </c:ext>
          </c:extLst>
        </c:ser>
        <c:ser>
          <c:idx val="3"/>
          <c:order val="2"/>
          <c:tx>
            <c:strRef>
              <c:f>'1'!$C$22</c:f>
              <c:strCache>
                <c:ptCount val="1"/>
                <c:pt idx="0">
                  <c:v>عقود الزواج غير قطريين
Non-Qataris Marriages</c:v>
                </c:pt>
              </c:strCache>
            </c:strRef>
          </c:tx>
          <c:spPr>
            <a:ln w="25400">
              <a:solidFill>
                <a:srgbClr val="0000FF"/>
              </a:solidFill>
              <a:prstDash val="solid"/>
            </a:ln>
          </c:spPr>
          <c:marker>
            <c:symbol val="diamond"/>
            <c:size val="12"/>
            <c:spPr>
              <a:solidFill>
                <a:srgbClr val="0000FF"/>
              </a:solidFill>
              <a:ln>
                <a:solidFill>
                  <a:srgbClr val="0000FF"/>
                </a:solidFill>
                <a:prstDash val="solid"/>
              </a:ln>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01E-4E39-AAAB-D7CAD03418E5}"/>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01E-4E39-AAAB-D7CAD03418E5}"/>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01E-4E39-AAAB-D7CAD03418E5}"/>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01E-4E39-AAAB-D7CAD03418E5}"/>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01E-4E39-AAAB-D7CAD03418E5}"/>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01E-4E39-AAAB-D7CAD03418E5}"/>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01E-4E39-AAAB-D7CAD03418E5}"/>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401E-4E39-AAAB-D7CAD03418E5}"/>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'1'!$E$23:$E$32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'1'!$C$23:$C$32</c:f>
              <c:numCache>
                <c:formatCode>General</c:formatCode>
                <c:ptCount val="10"/>
                <c:pt idx="0">
                  <c:v>1225</c:v>
                </c:pt>
                <c:pt idx="1">
                  <c:v>1395</c:v>
                </c:pt>
                <c:pt idx="2">
                  <c:v>1479</c:v>
                </c:pt>
                <c:pt idx="3">
                  <c:v>1547</c:v>
                </c:pt>
                <c:pt idx="4">
                  <c:v>1598</c:v>
                </c:pt>
                <c:pt idx="5">
                  <c:v>1655</c:v>
                </c:pt>
                <c:pt idx="6">
                  <c:v>1733</c:v>
                </c:pt>
                <c:pt idx="7">
                  <c:v>1537</c:v>
                </c:pt>
                <c:pt idx="8">
                  <c:v>1574</c:v>
                </c:pt>
                <c:pt idx="9">
                  <c:v>1544</c:v>
                </c:pt>
              </c:numCache>
            </c:numRef>
          </c:val>
          <c:smooth val="0"/>
          <c:extLst xmlns:c16r2="http://schemas.microsoft.com/office/drawing/2015/06/chart">
            <c:ext xmlns:c16="http://schemas.microsoft.com/office/drawing/2014/chart" uri="{C3380CC4-5D6E-409C-BE32-E72D297353CC}">
              <c16:uniqueId val="{0000001C-401E-4E39-AAAB-D7CAD03418E5}"/>
            </c:ext>
          </c:extLst>
        </c:ser>
        <c:ser>
          <c:idx val="4"/>
          <c:order val="3"/>
          <c:tx>
            <c:strRef>
              <c:f>'1'!$D$22</c:f>
              <c:strCache>
                <c:ptCount val="1"/>
                <c:pt idx="0">
                  <c:v>عقود الزواج قطريون 
Marriages Qataris</c:v>
                </c:pt>
              </c:strCache>
            </c:strRef>
          </c:tx>
          <c:spPr>
            <a:ln w="25400">
              <a:solidFill>
                <a:srgbClr val="800080"/>
              </a:solidFill>
              <a:prstDash val="solid"/>
            </a:ln>
          </c:spPr>
          <c:marker>
            <c:symbol val="circle"/>
            <c:size val="12"/>
            <c:spPr>
              <a:solidFill>
                <a:srgbClr val="993366"/>
              </a:solidFill>
              <a:ln>
                <a:solidFill>
                  <a:srgbClr val="993366"/>
                </a:solidFill>
                <a:prstDash val="solid"/>
              </a:ln>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401E-4E39-AAAB-D7CAD03418E5}"/>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401E-4E39-AAAB-D7CAD03418E5}"/>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401E-4E39-AAAB-D7CAD03418E5}"/>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401E-4E39-AAAB-D7CAD03418E5}"/>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401E-4E39-AAAB-D7CAD03418E5}"/>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401E-4E39-AAAB-D7CAD03418E5}"/>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401E-4E39-AAAB-D7CAD03418E5}"/>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401E-4E39-AAAB-D7CAD03418E5}"/>
                </c:ext>
              </c:extLst>
            </c:dLbl>
            <c:dLbl>
              <c:idx val="9"/>
              <c:layout>
                <c:manualLayout>
                  <c:x val="-2.1348830784156995E-2"/>
                  <c:y val="-2.6997418711090865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401E-4E39-AAAB-D7CAD03418E5}"/>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'1'!$E$23:$E$32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'1'!$D$23:$D$32</c:f>
              <c:numCache>
                <c:formatCode>#,##0</c:formatCode>
                <c:ptCount val="10"/>
                <c:pt idx="0">
                  <c:v>1752</c:v>
                </c:pt>
                <c:pt idx="1">
                  <c:v>1898</c:v>
                </c:pt>
                <c:pt idx="2" formatCode="General">
                  <c:v>2053</c:v>
                </c:pt>
                <c:pt idx="3" formatCode="General">
                  <c:v>2072</c:v>
                </c:pt>
                <c:pt idx="4" formatCode="General">
                  <c:v>2076</c:v>
                </c:pt>
                <c:pt idx="5" formatCode="General">
                  <c:v>2069</c:v>
                </c:pt>
                <c:pt idx="6" formatCode="General">
                  <c:v>2097</c:v>
                </c:pt>
                <c:pt idx="7" formatCode="General">
                  <c:v>2181</c:v>
                </c:pt>
                <c:pt idx="8" formatCode="General">
                  <c:v>2184</c:v>
                </c:pt>
                <c:pt idx="9" formatCode="General">
                  <c:v>2077</c:v>
                </c:pt>
              </c:numCache>
            </c:numRef>
          </c:val>
          <c:smooth val="0"/>
          <c:extLst xmlns:c16r2="http://schemas.microsoft.com/office/drawing/2015/06/chart">
            <c:ext xmlns:c16="http://schemas.microsoft.com/office/drawing/2014/chart" uri="{C3380CC4-5D6E-409C-BE32-E72D297353CC}">
              <c16:uniqueId val="{00000026-401E-4E39-AAAB-D7CAD03418E5}"/>
            </c:ext>
          </c:extLst>
        </c:ser>
        <c:dLbls>
          <c:showLegendKey val="0"/>
          <c:showVal val="1"/>
          <c:showCatName val="0"/>
          <c:showSerName val="0"/>
          <c:showPercent val="0"/>
          <c:showBubbleSize val="0"/>
        </c:dLbls>
        <c:marker val="1"/>
        <c:smooth val="0"/>
        <c:axId val="136496256"/>
        <c:axId val="136497792"/>
      </c:lineChart>
      <c:catAx>
        <c:axId val="136496256"/>
        <c:scaling>
          <c:orientation val="minMax"/>
        </c:scaling>
        <c:delete val="0"/>
        <c:axPos val="b"/>
        <c:majorGridlines>
          <c:spPr>
            <a:ln w="3175">
              <a:solidFill>
                <a:schemeClr val="bg1">
                  <a:lumMod val="85000"/>
                </a:schemeClr>
              </a:solidFill>
              <a:prstDash val="sysDot"/>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ysClr val="windowText" lastClr="000000"/>
                </a:solidFill>
                <a:latin typeface="Arial"/>
                <a:ea typeface="Arial"/>
                <a:cs typeface="Arial"/>
              </a:defRPr>
            </a:pPr>
            <a:endParaRPr lang="en-US"/>
          </a:p>
        </c:txPr>
        <c:crossAx val="136497792"/>
        <c:crosses val="autoZero"/>
        <c:auto val="1"/>
        <c:lblAlgn val="ctr"/>
        <c:lblOffset val="100"/>
        <c:tickLblSkip val="1"/>
        <c:tickMarkSkip val="1"/>
        <c:noMultiLvlLbl val="0"/>
      </c:catAx>
      <c:valAx>
        <c:axId val="136497792"/>
        <c:scaling>
          <c:orientation val="minMax"/>
        </c:scaling>
        <c:delete val="0"/>
        <c:axPos val="l"/>
        <c:majorGridlines>
          <c:spPr>
            <a:ln w="3175">
              <a:solidFill>
                <a:schemeClr val="bg1">
                  <a:lumMod val="85000"/>
                </a:schemeClr>
              </a:solidFill>
              <a:prstDash val="solid"/>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Arial"/>
                    <a:cs typeface="Arial"/>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Number</a:t>
                </a:r>
              </a:p>
            </c:rich>
          </c:tx>
          <c:layout>
            <c:manualLayout>
              <c:xMode val="edge"/>
              <c:yMode val="edge"/>
              <c:x val="4.9630393508033124E-3"/>
              <c:y val="4.705297848131691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ysClr val="windowText" lastClr="000000"/>
                </a:solidFill>
                <a:latin typeface="Arial"/>
                <a:ea typeface="Arial"/>
                <a:cs typeface="Arial"/>
              </a:defRPr>
            </a:pPr>
            <a:endParaRPr lang="en-US"/>
          </a:p>
        </c:txPr>
        <c:crossAx val="136496256"/>
        <c:crosses val="autoZero"/>
        <c:crossBetween val="between"/>
      </c:valAx>
      <c:spPr>
        <a:noFill/>
        <a:ln w="25400">
          <a:noFill/>
        </a:ln>
      </c:spPr>
    </c:plotArea>
    <c:legend>
      <c:legendPos val="t"/>
      <c:layout>
        <c:manualLayout>
          <c:xMode val="edge"/>
          <c:yMode val="edge"/>
          <c:x val="6.3887405751147694E-2"/>
          <c:y val="0.13094223552634432"/>
          <c:w val="0.89180903182695803"/>
          <c:h val="6.1986681416889004E-2"/>
        </c:manualLayout>
      </c:layout>
      <c:overlay val="0"/>
      <c:txPr>
        <a:bodyPr/>
        <a:lstStyle/>
        <a:p>
          <a:pPr>
            <a:defRPr sz="1000" b="1"/>
          </a:pPr>
          <a:endParaRPr lang="en-US"/>
        </a:p>
      </c:txPr>
    </c:legend>
    <c:plotVisOnly val="1"/>
    <c:dispBlanksAs val="gap"/>
    <c:showDLblsOverMax val="0"/>
  </c:chart>
  <c:spPr>
    <a:solidFill>
      <a:schemeClr val="bg1"/>
    </a:solidFill>
    <a:ln w="25400">
      <a:no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1221" l="0.70000000000000062" r="0.70000000000000062" t="0.75000000000001221"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جنسية الزوج والشهر</a:t>
            </a:r>
            <a:endParaRPr lang="ar-QA" sz="14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HUSBAND AND MONTH</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30995889888060252"/>
          <c:y val="1.9735545105054642E-2"/>
        </c:manualLayout>
      </c:layout>
      <c:overlay val="0"/>
      <c:spPr>
        <a:noFill/>
        <a:ln w="25400">
          <a:noFill/>
        </a:ln>
      </c:spPr>
    </c:title>
    <c:autoTitleDeleted val="0"/>
    <c:plotArea>
      <c:layout>
        <c:manualLayout>
          <c:layoutTarget val="inner"/>
          <c:xMode val="edge"/>
          <c:yMode val="edge"/>
          <c:x val="7.108582114947018E-2"/>
          <c:y val="0.18485117071209706"/>
          <c:w val="0.91665048069667765"/>
          <c:h val="0.66204923179784392"/>
        </c:manualLayout>
      </c:layout>
      <c:barChart>
        <c:barDir val="col"/>
        <c:grouping val="clustered"/>
        <c:varyColors val="0"/>
        <c:ser>
          <c:idx val="1"/>
          <c:order val="0"/>
          <c:tx>
            <c:strRef>
              <c:f>'23'!$C$26</c:f>
              <c:strCache>
                <c:ptCount val="1"/>
                <c:pt idx="0">
                  <c:v>قطري  Qatari</c:v>
                </c:pt>
              </c:strCache>
            </c:strRef>
          </c:tx>
          <c:spPr>
            <a:solidFill>
              <a:srgbClr val="993366"/>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'23'!$A$27:$A$38</c:f>
              <c:strCache>
                <c:ptCount val="12"/>
                <c:pt idx="0">
                  <c:v> يناير
Jan</c:v>
                </c:pt>
                <c:pt idx="1">
                  <c:v>فبراير 
Feb</c:v>
                </c:pt>
                <c:pt idx="2">
                  <c:v>مارس 
Mar</c:v>
                </c:pt>
                <c:pt idx="3">
                  <c:v> ابريل
Apr</c:v>
                </c:pt>
                <c:pt idx="4">
                  <c:v>مايو
May</c:v>
                </c:pt>
                <c:pt idx="5">
                  <c:v>يونيو
Jun</c:v>
                </c:pt>
                <c:pt idx="6">
                  <c:v>يوليو
Jul</c:v>
                </c:pt>
                <c:pt idx="7">
                  <c:v>اغسطس
Aug</c:v>
                </c:pt>
                <c:pt idx="8">
                  <c:v>سبتمبر
Sep</c:v>
                </c:pt>
                <c:pt idx="9">
                  <c:v>اكتوبر
 Oct</c:v>
                </c:pt>
                <c:pt idx="10">
                  <c:v>نوفمبر
Nov</c:v>
                </c:pt>
                <c:pt idx="11">
                  <c:v>ديسمبر
Dec</c:v>
                </c:pt>
              </c:strCache>
            </c:strRef>
          </c:cat>
          <c:val>
            <c:numRef>
              <c:f>'23'!$C$27:$C$38</c:f>
              <c:numCache>
                <c:formatCode>General</c:formatCode>
                <c:ptCount val="12"/>
                <c:pt idx="0" formatCode="#,##0">
                  <c:v>92</c:v>
                </c:pt>
                <c:pt idx="1">
                  <c:v>55</c:v>
                </c:pt>
                <c:pt idx="2">
                  <c:v>94</c:v>
                </c:pt>
                <c:pt idx="3">
                  <c:v>135</c:v>
                </c:pt>
                <c:pt idx="4">
                  <c:v>66</c:v>
                </c:pt>
                <c:pt idx="5">
                  <c:v>65</c:v>
                </c:pt>
                <c:pt idx="6">
                  <c:v>97</c:v>
                </c:pt>
                <c:pt idx="7">
                  <c:v>79</c:v>
                </c:pt>
                <c:pt idx="8">
                  <c:v>112</c:v>
                </c:pt>
                <c:pt idx="9">
                  <c:v>130</c:v>
                </c:pt>
                <c:pt idx="10">
                  <c:v>90</c:v>
                </c:pt>
                <c:pt idx="11">
                  <c:v>100</c:v>
                </c:pt>
              </c:numCache>
            </c:numRef>
          </c:val>
          <c:extLst xmlns:c16r2="http://schemas.microsoft.com/office/drawing/2015/06/chart">
            <c:ext xmlns:c16="http://schemas.microsoft.com/office/drawing/2014/chart" uri="{C3380CC4-5D6E-409C-BE32-E72D297353CC}">
              <c16:uniqueId val="{00000000-4779-43DB-9D31-5118A86EA7E0}"/>
            </c:ext>
          </c:extLst>
        </c:ser>
        <c:ser>
          <c:idx val="0"/>
          <c:order val="1"/>
          <c:tx>
            <c:strRef>
              <c:f>'23'!$B$26</c:f>
              <c:strCache>
                <c:ptCount val="1"/>
                <c:pt idx="0">
                  <c:v>غير قطري Non Qatari</c:v>
                </c:pt>
              </c:strCache>
            </c:strRef>
          </c:tx>
          <c:spPr>
            <a:solidFill>
              <a:schemeClr val="bg1">
                <a:lumMod val="65000"/>
              </a:schemeClr>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'23'!$A$27:$A$38</c:f>
              <c:strCache>
                <c:ptCount val="12"/>
                <c:pt idx="0">
                  <c:v> يناير
Jan</c:v>
                </c:pt>
                <c:pt idx="1">
                  <c:v>فبراير 
Feb</c:v>
                </c:pt>
                <c:pt idx="2">
                  <c:v>مارس 
Mar</c:v>
                </c:pt>
                <c:pt idx="3">
                  <c:v> ابريل
Apr</c:v>
                </c:pt>
                <c:pt idx="4">
                  <c:v>مايو
May</c:v>
                </c:pt>
                <c:pt idx="5">
                  <c:v>يونيو
Jun</c:v>
                </c:pt>
                <c:pt idx="6">
                  <c:v>يوليو
Jul</c:v>
                </c:pt>
                <c:pt idx="7">
                  <c:v>اغسطس
Aug</c:v>
                </c:pt>
                <c:pt idx="8">
                  <c:v>سبتمبر
Sep</c:v>
                </c:pt>
                <c:pt idx="9">
                  <c:v>اكتوبر
 Oct</c:v>
                </c:pt>
                <c:pt idx="10">
                  <c:v>نوفمبر
Nov</c:v>
                </c:pt>
                <c:pt idx="11">
                  <c:v>ديسمبر
Dec</c:v>
                </c:pt>
              </c:strCache>
            </c:strRef>
          </c:cat>
          <c:val>
            <c:numRef>
              <c:f>'23'!$B$27:$B$38</c:f>
              <c:numCache>
                <c:formatCode>#,##0</c:formatCode>
                <c:ptCount val="12"/>
                <c:pt idx="0">
                  <c:v>46</c:v>
                </c:pt>
                <c:pt idx="1">
                  <c:v>49</c:v>
                </c:pt>
                <c:pt idx="2" formatCode="General">
                  <c:v>56</c:v>
                </c:pt>
                <c:pt idx="3" formatCode="General">
                  <c:v>71</c:v>
                </c:pt>
                <c:pt idx="4" formatCode="General">
                  <c:v>52</c:v>
                </c:pt>
                <c:pt idx="5" formatCode="General">
                  <c:v>53</c:v>
                </c:pt>
                <c:pt idx="6" formatCode="General">
                  <c:v>71</c:v>
                </c:pt>
                <c:pt idx="7" formatCode="General">
                  <c:v>50</c:v>
                </c:pt>
                <c:pt idx="8" formatCode="General">
                  <c:v>64</c:v>
                </c:pt>
                <c:pt idx="9" formatCode="General">
                  <c:v>61</c:v>
                </c:pt>
                <c:pt idx="10" formatCode="General">
                  <c:v>63</c:v>
                </c:pt>
                <c:pt idx="11" formatCode="General">
                  <c:v>82</c:v>
                </c:pt>
              </c:numCache>
            </c:numRef>
          </c:val>
          <c:extLst xmlns:c16r2="http://schemas.microsoft.com/office/drawing/2015/06/chart">
            <c:ext xmlns:c16="http://schemas.microsoft.com/office/drawing/2014/chart" uri="{C3380CC4-5D6E-409C-BE32-E72D297353CC}">
              <c16:uniqueId val="{00000001-4779-43DB-9D31-5118A86EA7E0}"/>
            </c:ext>
          </c:extLst>
        </c:ser>
        <c:dLbls>
          <c:showLegendKey val="0"/>
          <c:showVal val="0"/>
          <c:showCatName val="0"/>
          <c:showSerName val="0"/>
          <c:showPercent val="0"/>
          <c:showBubbleSize val="0"/>
        </c:dLbls>
        <c:gapWidth val="150"/>
        <c:axId val="146372096"/>
        <c:axId val="146374016"/>
      </c:barChart>
      <c:catAx>
        <c:axId val="146372096"/>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الشهور</a:t>
                </a:r>
              </a:p>
              <a:p>
                <a:pP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Arial"/>
                    <a:cs typeface="Arial"/>
                  </a:rPr>
                  <a:t>Month</a:t>
                </a:r>
              </a:p>
            </c:rich>
          </c:tx>
          <c:layout>
            <c:manualLayout>
              <c:xMode val="edge"/>
              <c:yMode val="edge"/>
              <c:x val="0.47864677005566852"/>
              <c:y val="0.92611923509561311"/>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6374016"/>
        <c:crosses val="autoZero"/>
        <c:auto val="1"/>
        <c:lblAlgn val="ctr"/>
        <c:lblOffset val="100"/>
        <c:tickLblSkip val="1"/>
        <c:tickMarkSkip val="1"/>
        <c:noMultiLvlLbl val="0"/>
      </c:catAx>
      <c:valAx>
        <c:axId val="146374016"/>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1.7066581446203103E-2"/>
              <c:y val="7.3969488753664825E-2"/>
            </c:manualLayout>
          </c:layout>
          <c:overlay val="0"/>
          <c:spPr>
            <a:noFill/>
            <a:ln w="25400">
              <a:noFill/>
            </a:ln>
          </c:spPr>
        </c:title>
        <c:numFmt formatCode="#,##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6372096"/>
        <c:crosses val="autoZero"/>
        <c:crossBetween val="between"/>
      </c:valAx>
      <c:spPr>
        <a:noFill/>
        <a:ln w="25400">
          <a:noFill/>
        </a:ln>
      </c:spPr>
    </c:plotArea>
    <c:legend>
      <c:legendPos val="r"/>
      <c:layout>
        <c:manualLayout>
          <c:xMode val="edge"/>
          <c:yMode val="edge"/>
          <c:x val="0.65448440140021957"/>
          <c:y val="0.13038574997402433"/>
          <c:w val="0.32601881360094925"/>
          <c:h val="5.6343800398444159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1"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إشهادات الطلاق للقطريين حسب نوع الطلاق</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QATARIS DIVORCES BY TYPE OF DIVORCE</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28465140359327745"/>
          <c:y val="1.4958893006021306E-2"/>
        </c:manualLayout>
      </c:layout>
      <c:overlay val="0"/>
      <c:spPr>
        <a:noFill/>
        <a:ln w="25400">
          <a:noFill/>
        </a:ln>
      </c:spPr>
    </c:title>
    <c:autoTitleDeleted val="0"/>
    <c:plotArea>
      <c:layout>
        <c:manualLayout>
          <c:layoutTarget val="inner"/>
          <c:xMode val="edge"/>
          <c:yMode val="edge"/>
          <c:x val="0.23990722663780203"/>
          <c:y val="0.20837002126558563"/>
          <c:w val="0.48470022915761451"/>
          <c:h val="0.75270053834513373"/>
        </c:manualLayout>
      </c:layout>
      <c:pieChart>
        <c:varyColors val="1"/>
        <c:ser>
          <c:idx val="0"/>
          <c:order val="0"/>
          <c:spPr>
            <a:ln w="0">
              <a:noFill/>
            </a:ln>
          </c:spPr>
          <c:dPt>
            <c:idx val="0"/>
            <c:bubble3D val="0"/>
            <c:spPr>
              <a:solidFill>
                <a:schemeClr val="accent2">
                  <a:lumMod val="20000"/>
                  <a:lumOff val="80000"/>
                </a:schemeClr>
              </a:solidFill>
              <a:ln w="0">
                <a:noFill/>
              </a:ln>
              <a:scene3d>
                <a:camera prst="orthographicFront"/>
                <a:lightRig rig="threePt" dir="t"/>
              </a:scene3d>
              <a:sp3d prstMaterial="metal">
                <a:bevelB prst="slope"/>
                <a:contourClr>
                  <a:srgbClr val="000000"/>
                </a:contourClr>
              </a:sp3d>
            </c:spPr>
            <c:extLst xmlns:c16r2="http://schemas.microsoft.com/office/drawing/2015/06/chart">
              <c:ext xmlns:c16="http://schemas.microsoft.com/office/drawing/2014/chart" uri="{C3380CC4-5D6E-409C-BE32-E72D297353CC}">
                <c16:uniqueId val="{00000001-DEC4-40D0-9555-F973F3AB250F}"/>
              </c:ext>
            </c:extLst>
          </c:dPt>
          <c:dPt>
            <c:idx val="1"/>
            <c:bubble3D val="0"/>
            <c:spPr>
              <a:ln w="0">
                <a:noFill/>
              </a:ln>
              <a:scene3d>
                <a:camera prst="orthographicFront"/>
                <a:lightRig rig="threePt" dir="t"/>
              </a:scene3d>
              <a:sp3d prstMaterial="softEdge">
                <a:bevelB prst="slope"/>
                <a:contourClr>
                  <a:srgbClr val="000000"/>
                </a:contourClr>
              </a:sp3d>
            </c:spPr>
            <c:extLst xmlns:c16r2="http://schemas.microsoft.com/office/drawing/2015/06/chart">
              <c:ext xmlns:c16="http://schemas.microsoft.com/office/drawing/2014/chart" uri="{C3380CC4-5D6E-409C-BE32-E72D297353CC}">
                <c16:uniqueId val="{00000003-DEC4-40D0-9555-F973F3AB250F}"/>
              </c:ext>
            </c:extLst>
          </c:dPt>
          <c:dPt>
            <c:idx val="2"/>
            <c:bubble3D val="0"/>
            <c:spPr>
              <a:ln w="0">
                <a:noFill/>
              </a:ln>
              <a:scene3d>
                <a:camera prst="orthographicFront"/>
                <a:lightRig rig="threePt" dir="t"/>
              </a:scene3d>
              <a:sp3d prstMaterial="metal">
                <a:contourClr>
                  <a:srgbClr val="000000"/>
                </a:contourClr>
              </a:sp3d>
            </c:spPr>
            <c:extLst xmlns:c16r2="http://schemas.microsoft.com/office/drawing/2015/06/chart">
              <c:ext xmlns:c16="http://schemas.microsoft.com/office/drawing/2014/chart" uri="{C3380CC4-5D6E-409C-BE32-E72D297353CC}">
                <c16:uniqueId val="{00000005-DEC4-40D0-9555-F973F3AB250F}"/>
              </c:ext>
            </c:extLst>
          </c:dPt>
          <c:dPt>
            <c:idx val="3"/>
            <c:bubble3D val="0"/>
            <c:spPr>
              <a:ln w="0">
                <a:noFill/>
              </a:ln>
              <a:scene3d>
                <a:camera prst="orthographicFront"/>
                <a:lightRig rig="threePt" dir="t"/>
              </a:scene3d>
              <a:sp3d prstMaterial="metal">
                <a:bevelB prst="slope"/>
                <a:contourClr>
                  <a:srgbClr val="000000"/>
                </a:contourClr>
              </a:sp3d>
            </c:spPr>
            <c:extLst xmlns:c16r2="http://schemas.microsoft.com/office/drawing/2015/06/chart">
              <c:ext xmlns:c16="http://schemas.microsoft.com/office/drawing/2014/chart" uri="{C3380CC4-5D6E-409C-BE32-E72D297353CC}">
                <c16:uniqueId val="{00000007-DEC4-40D0-9555-F973F3AB250F}"/>
              </c:ext>
            </c:extLst>
          </c:dPt>
          <c:dLbls>
            <c:dLbl>
              <c:idx val="1"/>
              <c:numFmt formatCode="0.0%" sourceLinked="0"/>
              <c:spPr/>
              <c:txPr>
                <a:bodyPr/>
                <a:lstStyle/>
                <a:p>
                  <a:pPr>
                    <a:defRPr>
                      <a:solidFill>
                        <a:schemeClr val="bg1"/>
                      </a:solidFill>
                      <a:latin typeface="Arial" pitchFamily="34" charset="0"/>
                      <a:cs typeface="Arial" pitchFamily="34" charset="0"/>
                    </a:defRPr>
                  </a:pPr>
                  <a:endParaRPr lang="en-US"/>
                </a:p>
              </c:txPr>
              <c:showLegendKey val="0"/>
              <c:showVal val="0"/>
              <c:showCatName val="1"/>
              <c:showSerName val="0"/>
              <c:showPercent val="1"/>
              <c:showBubbleSize val="0"/>
            </c:dLbl>
            <c:dLbl>
              <c:idx val="3"/>
              <c:layout>
                <c:manualLayout>
                  <c:x val="-5.5046677217782235E-3"/>
                  <c:y val="-1.2178477690288713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C4-40D0-9555-F973F3AB250F}"/>
                </c:ext>
              </c:extLst>
            </c:dLbl>
            <c:dLbl>
              <c:idx val="4"/>
              <c:layout>
                <c:manualLayout>
                  <c:x val="1.2372985212054485E-3"/>
                  <c:y val="6.5865755751119345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EC4-40D0-9555-F973F3AB250F}"/>
                </c:ext>
              </c:extLst>
            </c:dLbl>
            <c:numFmt formatCode="0.0%" sourceLinked="0"/>
            <c:spPr>
              <a:noFill/>
              <a:ln>
                <a:noFill/>
              </a:ln>
              <a:effectLst/>
            </c:spPr>
            <c:txPr>
              <a:bodyPr/>
              <a:lstStyle/>
              <a:p>
                <a:pPr>
                  <a:defRPr>
                    <a:latin typeface="Arial" pitchFamily="34" charset="0"/>
                    <a:cs typeface="Arial" pitchFamily="34" charset="0"/>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'24'!$A$24:$E$24</c:f>
              <c:strCache>
                <c:ptCount val="5"/>
                <c:pt idx="0">
                  <c:v>بينونة صغرى
Minor irrevocable divorce</c:v>
                </c:pt>
                <c:pt idx="1">
                  <c:v>رجعي
Revocable divorce </c:v>
                </c:pt>
                <c:pt idx="2">
                  <c:v>خلع
Divorce against compensation</c:v>
                </c:pt>
                <c:pt idx="3">
                  <c:v>بينونة كبرى
Major  irrevocable divorce</c:v>
                </c:pt>
                <c:pt idx="4">
                  <c:v>غير مبين
Not Stated</c:v>
                </c:pt>
              </c:strCache>
            </c:strRef>
          </c:cat>
          <c:val>
            <c:numRef>
              <c:f>'24'!$A$25:$E$25</c:f>
              <c:numCache>
                <c:formatCode>#,##0</c:formatCode>
                <c:ptCount val="5"/>
                <c:pt idx="0">
                  <c:v>493</c:v>
                </c:pt>
                <c:pt idx="1">
                  <c:v>512</c:v>
                </c:pt>
                <c:pt idx="2">
                  <c:v>85</c:v>
                </c:pt>
                <c:pt idx="3">
                  <c:v>25</c:v>
                </c:pt>
                <c:pt idx="4">
                  <c:v>0</c:v>
                </c:pt>
              </c:numCache>
            </c:numRef>
          </c:val>
          <c:extLst xmlns:c16r2="http://schemas.microsoft.com/office/drawing/2015/06/chart">
            <c:ext xmlns:c16="http://schemas.microsoft.com/office/drawing/2014/chart" uri="{C3380CC4-5D6E-409C-BE32-E72D297353CC}">
              <c16:uniqueId val="{00000009-DEC4-40D0-9555-F973F3AB250F}"/>
            </c:ext>
          </c:extLst>
        </c:ser>
        <c:dLbls>
          <c:showLegendKey val="0"/>
          <c:showVal val="0"/>
          <c:showCatName val="1"/>
          <c:showSerName val="0"/>
          <c:showPercent val="1"/>
          <c:showBubbleSize val="0"/>
          <c:showLeaderLines val="1"/>
        </c:dLbls>
        <c:firstSliceAng val="102"/>
      </c:pieChart>
      <c:spPr>
        <a:noFill/>
        <a:ln w="25400">
          <a:noFill/>
        </a:ln>
      </c:spPr>
    </c:plotArea>
    <c:plotVisOnly val="1"/>
    <c:dispBlanksAs val="zero"/>
    <c:showDLblsOverMax val="0"/>
  </c:chart>
  <c:spPr>
    <a:ln>
      <a:noFill/>
    </a:ln>
  </c:spPr>
  <c:txPr>
    <a:bodyPr/>
    <a:lstStyle/>
    <a:p>
      <a:pPr>
        <a:defRPr sz="1000" b="1"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1"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جنسية الزوج</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HUSBAND</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31386217328131505"/>
          <c:y val="2.1999355343739941E-2"/>
        </c:manualLayout>
      </c:layout>
      <c:overlay val="0"/>
      <c:spPr>
        <a:noFill/>
        <a:ln w="25400">
          <a:noFill/>
        </a:ln>
      </c:spPr>
    </c:title>
    <c:autoTitleDeleted val="0"/>
    <c:plotArea>
      <c:layout>
        <c:manualLayout>
          <c:layoutTarget val="inner"/>
          <c:xMode val="edge"/>
          <c:yMode val="edge"/>
          <c:x val="0.32391906875450088"/>
          <c:y val="0.18202022992739941"/>
          <c:w val="0.4485620571073004"/>
          <c:h val="0.69339125007034963"/>
        </c:manualLayout>
      </c:layout>
      <c:pieChart>
        <c:varyColors val="1"/>
        <c:ser>
          <c:idx val="0"/>
          <c:order val="0"/>
          <c:spPr>
            <a:scene3d>
              <a:camera prst="orthographicFront"/>
              <a:lightRig rig="threePt" dir="t"/>
            </a:scene3d>
            <a:sp3d>
              <a:contourClr>
                <a:srgbClr val="000000"/>
              </a:contourClr>
            </a:sp3d>
          </c:spPr>
          <c:dPt>
            <c:idx val="0"/>
            <c:bubble3D val="0"/>
            <c:spPr>
              <a:solidFill>
                <a:srgbClr val="993366"/>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1-4093-4957-9A83-31392B49DCF9}"/>
              </c:ext>
            </c:extLst>
          </c:dPt>
          <c:dPt>
            <c:idx val="1"/>
            <c:bubble3D val="0"/>
            <c:spPr>
              <a:solidFill>
                <a:schemeClr val="accent1">
                  <a:lumMod val="75000"/>
                </a:schemeClr>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3-4093-4957-9A83-31392B49DCF9}"/>
              </c:ext>
            </c:extLst>
          </c:dPt>
          <c:dLbls>
            <c:dLbl>
              <c:idx val="0"/>
              <c:layout>
                <c:manualLayout>
                  <c:x val="0.12259305579178729"/>
                  <c:y val="0.19016948462837494"/>
                </c:manualLayout>
              </c:layout>
              <c:numFmt formatCode="0.0%" sourceLinked="0"/>
              <c:spPr/>
              <c:txPr>
                <a:bodyPr/>
                <a:lstStyle/>
                <a:p>
                  <a:pPr>
                    <a:defRPr b="1">
                      <a:solidFill>
                        <a:schemeClr val="bg1"/>
                      </a:solidFill>
                      <a:latin typeface="Arial" pitchFamily="34" charset="0"/>
                      <a:cs typeface="Arial" pitchFamily="34" charset="0"/>
                    </a:defRPr>
                  </a:pPr>
                  <a:endParaRPr lang="en-US"/>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093-4957-9A83-31392B49DCF9}"/>
                </c:ext>
              </c:extLst>
            </c:dLbl>
            <c:dLbl>
              <c:idx val="5"/>
              <c:layout>
                <c:manualLayout>
                  <c:x val="-3.7107724939719255E-2"/>
                  <c:y val="-8.697430263077581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093-4957-9A83-31392B49DCF9}"/>
                </c:ext>
              </c:extLst>
            </c:dLbl>
            <c:numFmt formatCode="0.0%" sourceLinked="0"/>
            <c:spPr>
              <a:noFill/>
              <a:ln>
                <a:noFill/>
              </a:ln>
              <a:effectLst/>
            </c:spPr>
            <c:txPr>
              <a:bodyPr/>
              <a:lstStyle/>
              <a:p>
                <a:pPr>
                  <a:defRPr b="1">
                    <a:latin typeface="Arial" pitchFamily="34" charset="0"/>
                    <a:cs typeface="Arial" pitchFamily="34" charset="0"/>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'24'!$A$30:$A$35</c:f>
              <c:strCache>
                <c:ptCount val="6"/>
                <c:pt idx="0">
                  <c:v>قطر
Qatar</c:v>
                </c:pt>
                <c:pt idx="1">
                  <c:v>بقية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'24'!$B$30:$B$35</c:f>
              <c:numCache>
                <c:formatCode>General</c:formatCode>
                <c:ptCount val="6"/>
                <c:pt idx="0" formatCode="#,##0">
                  <c:v>1115</c:v>
                </c:pt>
                <c:pt idx="1">
                  <c:v>64</c:v>
                </c:pt>
                <c:pt idx="2">
                  <c:v>518</c:v>
                </c:pt>
                <c:pt idx="3">
                  <c:v>85</c:v>
                </c:pt>
                <c:pt idx="4">
                  <c:v>13</c:v>
                </c:pt>
                <c:pt idx="5">
                  <c:v>38</c:v>
                </c:pt>
              </c:numCache>
            </c:numRef>
          </c:val>
          <c:extLst xmlns:c16r2="http://schemas.microsoft.com/office/drawing/2015/06/chart">
            <c:ext xmlns:c16="http://schemas.microsoft.com/office/drawing/2014/chart" uri="{C3380CC4-5D6E-409C-BE32-E72D297353CC}">
              <c16:uniqueId val="{00000005-4093-4957-9A83-31392B49DCF9}"/>
            </c:ext>
          </c:extLst>
        </c:ser>
        <c:dLbls>
          <c:showLegendKey val="0"/>
          <c:showVal val="0"/>
          <c:showCatName val="1"/>
          <c:showSerName val="0"/>
          <c:showPercent val="1"/>
          <c:showBubbleSize val="0"/>
          <c:showLeaderLines val="1"/>
        </c:dLbls>
        <c:firstSliceAng val="220"/>
      </c:pieChart>
      <c:spPr>
        <a:noFill/>
        <a:ln w="25400">
          <a:noFill/>
        </a:ln>
      </c:spPr>
    </c:plotArea>
    <c:plotVisOnly val="1"/>
    <c:dispBlanksAs val="zero"/>
    <c:showDLblsOverMax val="0"/>
  </c:chart>
  <c:spPr>
    <a:ln>
      <a:noFill/>
    </a:ln>
  </c:spPr>
  <c:txPr>
    <a:bodyPr/>
    <a:lstStyle/>
    <a:p>
      <a:pPr>
        <a:defRPr sz="1000" b="1"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اشهادات الطلاق حسب جنسية الزوجة والزوج</a:t>
            </a:r>
            <a:endParaRPr lang="ar-QA" sz="12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overlay val="0"/>
    </c:title>
    <c:autoTitleDeleted val="0"/>
    <c:plotArea>
      <c:layout>
        <c:manualLayout>
          <c:layoutTarget val="inner"/>
          <c:xMode val="edge"/>
          <c:yMode val="edge"/>
          <c:x val="8.7795636783934164E-2"/>
          <c:y val="0.15088217880402621"/>
          <c:w val="0.77199872378339907"/>
          <c:h val="0.66978475825514672"/>
        </c:manualLayout>
      </c:layout>
      <c:barChart>
        <c:barDir val="col"/>
        <c:grouping val="clustered"/>
        <c:varyColors val="0"/>
        <c:ser>
          <c:idx val="0"/>
          <c:order val="0"/>
          <c:tx>
            <c:strRef>
              <c:f>'36'!$B$21</c:f>
              <c:strCache>
                <c:ptCount val="1"/>
                <c:pt idx="0">
                  <c:v>الزوج Husband</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'36'!$A$22:$A$27</c:f>
              <c:strCache>
                <c:ptCount val="6"/>
                <c:pt idx="0">
                  <c:v>قطر
Qatar</c:v>
                </c:pt>
                <c:pt idx="1">
                  <c:v>بافي دول مجلس التعاون
Other G.C.C. Countries</c:v>
                </c:pt>
                <c:pt idx="2">
                  <c:v>باقي الدول العربية
Other Arabs Countries</c:v>
                </c:pt>
                <c:pt idx="3">
                  <c:v>دول آسيوية
Asian Countries</c:v>
                </c:pt>
                <c:pt idx="4">
                  <c:v>دول أوروبية
Europen Countries</c:v>
                </c:pt>
                <c:pt idx="5">
                  <c:v>دول أخرى
Other Countries</c:v>
                </c:pt>
              </c:strCache>
            </c:strRef>
          </c:cat>
          <c:val>
            <c:numRef>
              <c:f>'36'!$B$22:$B$27</c:f>
              <c:numCache>
                <c:formatCode>General</c:formatCode>
                <c:ptCount val="6"/>
                <c:pt idx="0" formatCode="#,##0">
                  <c:v>1115</c:v>
                </c:pt>
                <c:pt idx="1">
                  <c:v>64</c:v>
                </c:pt>
                <c:pt idx="2">
                  <c:v>518</c:v>
                </c:pt>
                <c:pt idx="3">
                  <c:v>85</c:v>
                </c:pt>
                <c:pt idx="4">
                  <c:v>13</c:v>
                </c:pt>
                <c:pt idx="5">
                  <c:v>38</c:v>
                </c:pt>
              </c:numCache>
            </c:numRef>
          </c:val>
          <c:extLst xmlns:c16r2="http://schemas.microsoft.com/office/drawing/2015/06/chart">
            <c:ext xmlns:c16="http://schemas.microsoft.com/office/drawing/2014/chart" uri="{C3380CC4-5D6E-409C-BE32-E72D297353CC}">
              <c16:uniqueId val="{00000000-AEB2-4ED7-9158-A5246AF290F3}"/>
            </c:ext>
          </c:extLst>
        </c:ser>
        <c:ser>
          <c:idx val="1"/>
          <c:order val="1"/>
          <c:tx>
            <c:strRef>
              <c:f>'36'!$C$21</c:f>
              <c:strCache>
                <c:ptCount val="1"/>
                <c:pt idx="0">
                  <c:v>الزوجة Wife</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'36'!$A$22:$A$27</c:f>
              <c:strCache>
                <c:ptCount val="6"/>
                <c:pt idx="0">
                  <c:v>قطر
Qatar</c:v>
                </c:pt>
                <c:pt idx="1">
                  <c:v>بافي دول مجلس التعاون
Other G.C.C. Countries</c:v>
                </c:pt>
                <c:pt idx="2">
                  <c:v>باقي الدول العربية
Other Arabs Countries</c:v>
                </c:pt>
                <c:pt idx="3">
                  <c:v>دول آسيوية
Asian Countries</c:v>
                </c:pt>
                <c:pt idx="4">
                  <c:v>دول أوروبية
Europen Countries</c:v>
                </c:pt>
                <c:pt idx="5">
                  <c:v>دول أخرى
Other Countries</c:v>
                </c:pt>
              </c:strCache>
            </c:strRef>
          </c:cat>
          <c:val>
            <c:numRef>
              <c:f>'36'!$C$22:$C$27</c:f>
              <c:numCache>
                <c:formatCode>General</c:formatCode>
                <c:ptCount val="6"/>
                <c:pt idx="0" formatCode="#,##0">
                  <c:v>992</c:v>
                </c:pt>
                <c:pt idx="1">
                  <c:v>148</c:v>
                </c:pt>
                <c:pt idx="2">
                  <c:v>503</c:v>
                </c:pt>
                <c:pt idx="3">
                  <c:v>123</c:v>
                </c:pt>
                <c:pt idx="4">
                  <c:v>31</c:v>
                </c:pt>
                <c:pt idx="5">
                  <c:v>36</c:v>
                </c:pt>
              </c:numCache>
            </c:numRef>
          </c:val>
          <c:extLst xmlns:c16r2="http://schemas.microsoft.com/office/drawing/2015/06/chart">
            <c:ext xmlns:c16="http://schemas.microsoft.com/office/drawing/2014/chart" uri="{C3380CC4-5D6E-409C-BE32-E72D297353CC}">
              <c16:uniqueId val="{00000001-AEB2-4ED7-9158-A5246AF290F3}"/>
            </c:ext>
          </c:extLst>
        </c:ser>
        <c:dLbls>
          <c:showLegendKey val="0"/>
          <c:showVal val="1"/>
          <c:showCatName val="0"/>
          <c:showSerName val="0"/>
          <c:showPercent val="0"/>
          <c:showBubbleSize val="0"/>
        </c:dLbls>
        <c:gapWidth val="150"/>
        <c:axId val="149242624"/>
        <c:axId val="149244544"/>
      </c:barChart>
      <c:catAx>
        <c:axId val="149242624"/>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333399"/>
                    </a:solidFill>
                    <a:latin typeface="Arial"/>
                    <a:cs typeface="Arial"/>
                  </a:rPr>
                  <a:t>الجنسية</a:t>
                </a:r>
              </a:p>
              <a:p>
                <a:pPr>
                  <a:defRPr sz="1100" b="0" i="0" u="none" strike="noStrike" baseline="0">
                    <a:solidFill>
                      <a:srgbClr val="000000"/>
                    </a:solidFill>
                    <a:latin typeface="Calibri"/>
                    <a:ea typeface="Calibri"/>
                    <a:cs typeface="Calibri"/>
                  </a:defRPr>
                </a:pPr>
                <a:r>
                  <a:rPr lang="ar-QA" sz="1000" b="1" i="0" u="none" strike="noStrike" baseline="0">
                    <a:solidFill>
                      <a:srgbClr val="333399"/>
                    </a:solidFill>
                    <a:latin typeface="Arial"/>
                    <a:cs typeface="Arial"/>
                  </a:rPr>
                  <a:t>   </a:t>
                </a:r>
                <a:r>
                  <a:rPr lang="en-US" sz="1000" b="1" i="0" u="none" strike="noStrike" baseline="0">
                    <a:solidFill>
                      <a:srgbClr val="333399"/>
                    </a:solidFill>
                    <a:latin typeface="Arial"/>
                    <a:cs typeface="Arial"/>
                  </a:rPr>
                  <a:t>Nationality</a:t>
                </a:r>
                <a:endParaRPr lang="ar-QA" sz="1200" b="1" i="0" u="none" strike="noStrike" baseline="0">
                  <a:solidFill>
                    <a:srgbClr val="333399"/>
                  </a:solidFill>
                  <a:latin typeface="Arial"/>
                  <a:cs typeface="Arial"/>
                </a:endParaRPr>
              </a:p>
            </c:rich>
          </c:tx>
          <c:overlay val="0"/>
        </c:title>
        <c:numFmt formatCode="General" sourceLinked="1"/>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9244544"/>
        <c:crosses val="autoZero"/>
        <c:auto val="1"/>
        <c:lblAlgn val="ctr"/>
        <c:lblOffset val="100"/>
        <c:noMultiLvlLbl val="0"/>
      </c:catAx>
      <c:valAx>
        <c:axId val="149244544"/>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rgbClr val="000000"/>
                    </a:solidFill>
                    <a:latin typeface="Calibri"/>
                    <a:ea typeface="Calibri"/>
                    <a:cs typeface="Calibri"/>
                  </a:defRPr>
                </a:pPr>
                <a:r>
                  <a:rPr lang="ar-QA" sz="1000" b="1" i="0" u="none" strike="noStrike" baseline="0">
                    <a:solidFill>
                      <a:srgbClr val="333399"/>
                    </a:solidFill>
                    <a:latin typeface="Arial"/>
                    <a:cs typeface="Arial"/>
                  </a:rPr>
                  <a:t>العدد</a:t>
                </a:r>
              </a:p>
              <a:p>
                <a:pPr algn="ctr">
                  <a:defRPr sz="1000" b="0" i="0" u="none" strike="noStrike" baseline="0">
                    <a:solidFill>
                      <a:srgbClr val="000000"/>
                    </a:solidFill>
                    <a:latin typeface="Calibri"/>
                    <a:ea typeface="Calibri"/>
                    <a:cs typeface="Calibri"/>
                  </a:defRPr>
                </a:pPr>
                <a:r>
                  <a:rPr lang="en-US" sz="1000" b="1" i="0" u="none" strike="noStrike" baseline="0">
                    <a:solidFill>
                      <a:srgbClr val="333399"/>
                    </a:solidFill>
                    <a:latin typeface="Arial"/>
                    <a:cs typeface="Arial"/>
                  </a:rPr>
                  <a:t>Number</a:t>
                </a:r>
              </a:p>
            </c:rich>
          </c:tx>
          <c:layout>
            <c:manualLayout>
              <c:xMode val="edge"/>
              <c:yMode val="edge"/>
              <c:x val="2.4464889257263887E-2"/>
              <c:y val="6.9901106968575905E-2"/>
            </c:manualLayout>
          </c:layout>
          <c:overlay val="0"/>
        </c:title>
        <c:numFmt formatCode="#,##0" sourceLinked="1"/>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9242624"/>
        <c:crosses val="autoZero"/>
        <c:crossBetween val="between"/>
      </c:valAx>
    </c:plotArea>
    <c:legend>
      <c:legendPos val="r"/>
      <c:layout>
        <c:manualLayout>
          <c:xMode val="edge"/>
          <c:yMode val="edge"/>
          <c:x val="0.8740710042823594"/>
          <c:y val="0.49555840254885875"/>
          <c:w val="0.11657227057144173"/>
          <c:h val="0.10811537040502478"/>
        </c:manualLayout>
      </c:layout>
      <c:overlay val="0"/>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الحالة التعليمية للزوجة والزوج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EDUCATIONAL STATUS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26269698310183137"/>
          <c:y val="1.5811503351184801E-2"/>
        </c:manualLayout>
      </c:layout>
      <c:overlay val="0"/>
      <c:spPr>
        <a:noFill/>
        <a:ln w="25400">
          <a:noFill/>
        </a:ln>
      </c:spPr>
    </c:title>
    <c:autoTitleDeleted val="0"/>
    <c:plotArea>
      <c:layout>
        <c:manualLayout>
          <c:layoutTarget val="inner"/>
          <c:xMode val="edge"/>
          <c:yMode val="edge"/>
          <c:x val="6.7787784953847061E-2"/>
          <c:y val="0.23490970482819701"/>
          <c:w val="0.90836686425432778"/>
          <c:h val="0.59393843783586797"/>
        </c:manualLayout>
      </c:layout>
      <c:barChart>
        <c:barDir val="col"/>
        <c:grouping val="clustered"/>
        <c:varyColors val="0"/>
        <c:ser>
          <c:idx val="0"/>
          <c:order val="0"/>
          <c:tx>
            <c:strRef>
              <c:f>'38.3'!$B$27</c:f>
              <c:strCache>
                <c:ptCount val="1"/>
                <c:pt idx="0">
                  <c:v>الزوج Husband</c:v>
                </c:pt>
              </c:strCache>
            </c:strRef>
          </c:tx>
          <c:spPr>
            <a:solidFill>
              <a:schemeClr val="accent1"/>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'38.3'!$A$28:$A$35</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'38.3'!$B$28:$B$35</c:f>
              <c:numCache>
                <c:formatCode>General</c:formatCode>
                <c:ptCount val="8"/>
                <c:pt idx="0">
                  <c:v>8</c:v>
                </c:pt>
                <c:pt idx="1">
                  <c:v>8</c:v>
                </c:pt>
                <c:pt idx="2">
                  <c:v>98</c:v>
                </c:pt>
                <c:pt idx="3">
                  <c:v>183</c:v>
                </c:pt>
                <c:pt idx="4">
                  <c:v>625</c:v>
                </c:pt>
                <c:pt idx="5">
                  <c:v>59</c:v>
                </c:pt>
                <c:pt idx="6">
                  <c:v>577</c:v>
                </c:pt>
                <c:pt idx="7">
                  <c:v>275</c:v>
                </c:pt>
              </c:numCache>
            </c:numRef>
          </c:val>
          <c:extLst xmlns:c16r2="http://schemas.microsoft.com/office/drawing/2015/06/chart">
            <c:ext xmlns:c16="http://schemas.microsoft.com/office/drawing/2014/chart" uri="{C3380CC4-5D6E-409C-BE32-E72D297353CC}">
              <c16:uniqueId val="{00000000-4E28-4F36-991F-3601BB2E91F6}"/>
            </c:ext>
          </c:extLst>
        </c:ser>
        <c:ser>
          <c:idx val="1"/>
          <c:order val="1"/>
          <c:tx>
            <c:strRef>
              <c:f>'38.3'!$C$27</c:f>
              <c:strCache>
                <c:ptCount val="1"/>
                <c:pt idx="0">
                  <c:v>الزوجة Wife</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'38.3'!$A$28:$A$35</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'38.3'!$C$28:$C$35</c:f>
              <c:numCache>
                <c:formatCode>General</c:formatCode>
                <c:ptCount val="8"/>
                <c:pt idx="0" formatCode="#,##0">
                  <c:v>3</c:v>
                </c:pt>
                <c:pt idx="1">
                  <c:v>11</c:v>
                </c:pt>
                <c:pt idx="2">
                  <c:v>46</c:v>
                </c:pt>
                <c:pt idx="3">
                  <c:v>126</c:v>
                </c:pt>
                <c:pt idx="4">
                  <c:v>832</c:v>
                </c:pt>
                <c:pt idx="5">
                  <c:v>34</c:v>
                </c:pt>
                <c:pt idx="6">
                  <c:v>468</c:v>
                </c:pt>
                <c:pt idx="7">
                  <c:v>313</c:v>
                </c:pt>
              </c:numCache>
            </c:numRef>
          </c:val>
          <c:extLst xmlns:c16r2="http://schemas.microsoft.com/office/drawing/2015/06/chart">
            <c:ext xmlns:c16="http://schemas.microsoft.com/office/drawing/2014/chart" uri="{C3380CC4-5D6E-409C-BE32-E72D297353CC}">
              <c16:uniqueId val="{00000001-4E28-4F36-991F-3601BB2E91F6}"/>
            </c:ext>
          </c:extLst>
        </c:ser>
        <c:dLbls>
          <c:showLegendKey val="0"/>
          <c:showVal val="0"/>
          <c:showCatName val="0"/>
          <c:showSerName val="0"/>
          <c:showPercent val="0"/>
          <c:showBubbleSize val="0"/>
        </c:dLbls>
        <c:gapWidth val="150"/>
        <c:axId val="149754624"/>
        <c:axId val="149756544"/>
      </c:barChart>
      <c:catAx>
        <c:axId val="149754624"/>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الحالة التعلمية</a:t>
                </a:r>
              </a:p>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 </a:t>
                </a:r>
                <a:r>
                  <a:rPr lang="en-US" sz="1200" b="1" i="0" u="none" strike="noStrike" baseline="0">
                    <a:solidFill>
                      <a:srgbClr val="000000"/>
                    </a:solidFill>
                    <a:latin typeface="Arial"/>
                    <a:cs typeface="Arial"/>
                  </a:rPr>
                  <a:t>Educational Status</a:t>
                </a:r>
              </a:p>
            </c:rich>
          </c:tx>
          <c:layout>
            <c:manualLayout>
              <c:xMode val="edge"/>
              <c:yMode val="edge"/>
              <c:x val="0.46194815535698486"/>
              <c:y val="0.92431165787932068"/>
            </c:manualLayout>
          </c:layout>
          <c:overlay val="0"/>
          <c:spPr>
            <a:noFill/>
            <a:ln w="25400">
              <a:noFill/>
            </a:ln>
          </c:spPr>
        </c:title>
        <c:numFmt formatCode="General" sourceLinked="1"/>
        <c:majorTickMark val="out"/>
        <c:minorTickMark val="none"/>
        <c:tickLblPos val="nextTo"/>
        <c:spPr>
          <a:solidFill>
            <a:sysClr val="window" lastClr="FFFFFF"/>
          </a:solidFill>
        </c:spPr>
        <c:txPr>
          <a:bodyPr rot="0" vert="horz"/>
          <a:lstStyle/>
          <a:p>
            <a:pPr>
              <a:defRPr sz="1100" b="0" i="0" u="none" strike="noStrike" baseline="0">
                <a:solidFill>
                  <a:sysClr val="windowText" lastClr="000000"/>
                </a:solidFill>
                <a:latin typeface="Calibri"/>
                <a:ea typeface="Calibri"/>
                <a:cs typeface="Calibri"/>
              </a:defRPr>
            </a:pPr>
            <a:endParaRPr lang="en-US"/>
          </a:p>
        </c:txPr>
        <c:crossAx val="149756544"/>
        <c:crosses val="autoZero"/>
        <c:auto val="1"/>
        <c:lblAlgn val="ctr"/>
        <c:lblOffset val="100"/>
        <c:tickLblSkip val="1"/>
        <c:tickMarkSkip val="1"/>
        <c:noMultiLvlLbl val="0"/>
      </c:catAx>
      <c:valAx>
        <c:axId val="149756544"/>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Number</a:t>
                </a:r>
              </a:p>
            </c:rich>
          </c:tx>
          <c:layout>
            <c:manualLayout>
              <c:xMode val="edge"/>
              <c:yMode val="edge"/>
              <c:x val="1.8266065056474681E-2"/>
              <c:y val="0.15341793172162796"/>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333399"/>
                </a:solidFill>
                <a:latin typeface="Arial"/>
                <a:ea typeface="Arial"/>
                <a:cs typeface="Arial"/>
              </a:defRPr>
            </a:pPr>
            <a:endParaRPr lang="en-US"/>
          </a:p>
        </c:txPr>
        <c:crossAx val="149754624"/>
        <c:crosses val="autoZero"/>
        <c:crossBetween val="between"/>
      </c:valAx>
      <c:spPr>
        <a:noFill/>
        <a:ln w="25400">
          <a:noFill/>
        </a:ln>
      </c:spPr>
    </c:plotArea>
    <c:legend>
      <c:legendPos val="r"/>
      <c:layout>
        <c:manualLayout>
          <c:xMode val="edge"/>
          <c:yMode val="edge"/>
          <c:x val="0.16451738476511046"/>
          <c:y val="0.23889127215864273"/>
          <c:w val="0.13216620956088354"/>
          <c:h val="0.10154426654488929"/>
        </c:manualLayout>
      </c:layout>
      <c:overlay val="0"/>
      <c:txPr>
        <a:bodyPr/>
        <a:lstStyle/>
        <a:p>
          <a:pPr>
            <a:defRPr sz="101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مهنة الزوجة والزوج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OCCUPATION OF WIFE AND HUSBAND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26793834594205584"/>
          <c:y val="8.4745688196012671E-3"/>
        </c:manualLayout>
      </c:layout>
      <c:overlay val="0"/>
      <c:spPr>
        <a:noFill/>
        <a:ln w="25400">
          <a:noFill/>
        </a:ln>
      </c:spPr>
    </c:title>
    <c:autoTitleDeleted val="0"/>
    <c:plotArea>
      <c:layout>
        <c:manualLayout>
          <c:layoutTarget val="inner"/>
          <c:xMode val="edge"/>
          <c:yMode val="edge"/>
          <c:x val="5.7412823397075374E-2"/>
          <c:y val="0.22500833124502653"/>
          <c:w val="0.93671967004124468"/>
          <c:h val="0.58220454277125389"/>
        </c:manualLayout>
      </c:layout>
      <c:barChart>
        <c:barDir val="col"/>
        <c:grouping val="clustered"/>
        <c:varyColors val="0"/>
        <c:ser>
          <c:idx val="0"/>
          <c:order val="0"/>
          <c:tx>
            <c:strRef>
              <c:f>'40.3'!$B$27</c:f>
              <c:strCache>
                <c:ptCount val="1"/>
                <c:pt idx="0">
                  <c:v>الزوج Husband</c:v>
                </c:pt>
              </c:strCache>
            </c:strRef>
          </c:tx>
          <c:spPr>
            <a:scene3d>
              <a:camera prst="orthographicFront"/>
              <a:lightRig rig="threePt" dir="t">
                <a:rot lat="0" lon="0" rev="1200000"/>
              </a:lightRig>
            </a:scene3d>
            <a:sp3d/>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'40.3'!$A$28:$A$35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'40.3'!$B$28:$B$35</c:f>
              <c:numCache>
                <c:formatCode>General</c:formatCode>
                <c:ptCount val="8"/>
                <c:pt idx="0">
                  <c:v>926</c:v>
                </c:pt>
                <c:pt idx="1">
                  <c:v>48</c:v>
                </c:pt>
                <c:pt idx="2">
                  <c:v>127</c:v>
                </c:pt>
                <c:pt idx="3">
                  <c:v>155</c:v>
                </c:pt>
                <c:pt idx="4">
                  <c:v>315</c:v>
                </c:pt>
                <c:pt idx="5">
                  <c:v>160</c:v>
                </c:pt>
                <c:pt idx="6">
                  <c:v>84</c:v>
                </c:pt>
                <c:pt idx="7">
                  <c:v>18</c:v>
                </c:pt>
              </c:numCache>
            </c:numRef>
          </c:val>
          <c:extLst xmlns:c16r2="http://schemas.microsoft.com/office/drawing/2015/06/chart">
            <c:ext xmlns:c16="http://schemas.microsoft.com/office/drawing/2014/chart" uri="{C3380CC4-5D6E-409C-BE32-E72D297353CC}">
              <c16:uniqueId val="{00000000-C456-4BCC-B2F8-A2AC3E31279B}"/>
            </c:ext>
          </c:extLst>
        </c:ser>
        <c:ser>
          <c:idx val="1"/>
          <c:order val="1"/>
          <c:tx>
            <c:strRef>
              <c:f>'40.3'!$C$27</c:f>
              <c:strCache>
                <c:ptCount val="1"/>
                <c:pt idx="0">
                  <c:v>الزوجة Wife</c:v>
                </c:pt>
              </c:strCache>
            </c:strRef>
          </c:tx>
          <c:spPr>
            <a:scene3d>
              <a:camera prst="orthographicFront"/>
              <a:lightRig rig="threePt" dir="t">
                <a:rot lat="0" lon="0" rev="1200000"/>
              </a:lightRig>
            </a:scene3d>
            <a:sp3d/>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'40.3'!$A$28:$A$35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'40.3'!$C$28:$C$35</c:f>
              <c:numCache>
                <c:formatCode>General</c:formatCode>
                <c:ptCount val="8"/>
                <c:pt idx="0">
                  <c:v>295</c:v>
                </c:pt>
                <c:pt idx="1">
                  <c:v>11</c:v>
                </c:pt>
                <c:pt idx="2">
                  <c:v>45</c:v>
                </c:pt>
                <c:pt idx="3">
                  <c:v>112</c:v>
                </c:pt>
                <c:pt idx="4">
                  <c:v>189</c:v>
                </c:pt>
                <c:pt idx="5">
                  <c:v>11</c:v>
                </c:pt>
                <c:pt idx="6">
                  <c:v>1170</c:v>
                </c:pt>
                <c:pt idx="7">
                  <c:v>0</c:v>
                </c:pt>
              </c:numCache>
            </c:numRef>
          </c:val>
          <c:extLst xmlns:c16r2="http://schemas.microsoft.com/office/drawing/2015/06/chart">
            <c:ext xmlns:c16="http://schemas.microsoft.com/office/drawing/2014/chart" uri="{C3380CC4-5D6E-409C-BE32-E72D297353CC}">
              <c16:uniqueId val="{00000001-C456-4BCC-B2F8-A2AC3E31279B}"/>
            </c:ext>
          </c:extLst>
        </c:ser>
        <c:dLbls>
          <c:showLegendKey val="0"/>
          <c:showVal val="1"/>
          <c:showCatName val="0"/>
          <c:showSerName val="0"/>
          <c:showPercent val="0"/>
          <c:showBubbleSize val="0"/>
        </c:dLbls>
        <c:gapWidth val="150"/>
        <c:axId val="150405504"/>
        <c:axId val="150407040"/>
      </c:barChart>
      <c:catAx>
        <c:axId val="150405504"/>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Arial"/>
                    <a:cs typeface="Arial"/>
                  </a:rPr>
                  <a:t>المهنة</a:t>
                </a:r>
              </a:p>
              <a:p>
                <a:pPr>
                  <a:defRPr sz="1100" b="0" i="0" u="none" strike="noStrike" baseline="0">
                    <a:solidFill>
                      <a:sysClr val="windowText" lastClr="000000"/>
                    </a:solidFill>
                    <a:latin typeface="Calibri"/>
                    <a:ea typeface="Calibri"/>
                    <a:cs typeface="Calibri"/>
                  </a:defRPr>
                </a:pPr>
                <a:r>
                  <a:rPr lang="en-US" sz="1200" b="1" i="0" u="none" strike="noStrike" baseline="0">
                    <a:solidFill>
                      <a:sysClr val="windowText" lastClr="000000"/>
                    </a:solidFill>
                    <a:latin typeface="Calibri"/>
                  </a:rPr>
                  <a:t>Occupatuon</a:t>
                </a:r>
              </a:p>
            </c:rich>
          </c:tx>
          <c:layout>
            <c:manualLayout>
              <c:xMode val="edge"/>
              <c:yMode val="edge"/>
              <c:x val="0.45737022872140981"/>
              <c:y val="0.92743935554768453"/>
            </c:manualLayout>
          </c:layout>
          <c:overlay val="0"/>
          <c:spPr>
            <a:noFill/>
            <a:ln w="25400">
              <a:noFill/>
            </a:ln>
          </c:spPr>
        </c:title>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50407040"/>
        <c:crosses val="autoZero"/>
        <c:auto val="1"/>
        <c:lblAlgn val="ctr"/>
        <c:lblOffset val="100"/>
        <c:tickLblSkip val="1"/>
        <c:tickMarkSkip val="1"/>
        <c:noMultiLvlLbl val="0"/>
      </c:catAx>
      <c:valAx>
        <c:axId val="150407040"/>
        <c:scaling>
          <c:orientation val="minMax"/>
        </c:scaling>
        <c:delete val="0"/>
        <c:axPos val="l"/>
        <c:majorGridlines>
          <c:spPr>
            <a:ln w="3175">
              <a:solidFill>
                <a:schemeClr val="bg2">
                  <a:lumMod val="90000"/>
                </a:schemeClr>
              </a:solidFill>
            </a:ln>
          </c:spPr>
        </c:majorGridlines>
        <c:title>
          <c:tx>
            <c:rich>
              <a:bodyPr rot="0" vert="horz"/>
              <a:lstStyle/>
              <a:p>
                <a:pPr>
                  <a:defRPr sz="1000" b="0" i="0" u="none" strike="noStrike" baseline="0">
                    <a:solidFill>
                      <a:srgbClr val="000000"/>
                    </a:solidFill>
                    <a:latin typeface="Calibri"/>
                    <a:ea typeface="Calibri"/>
                    <a:cs typeface="Calibri"/>
                  </a:defRPr>
                </a:pPr>
                <a:r>
                  <a:rPr lang="ar-QA" sz="1000" b="1" i="0" u="none" strike="noStrike" baseline="0">
                    <a:solidFill>
                      <a:srgbClr val="003366"/>
                    </a:solidFill>
                    <a:latin typeface="Arial"/>
                    <a:cs typeface="Arial"/>
                  </a:rPr>
                  <a:t>العدد</a:t>
                </a:r>
              </a:p>
              <a:p>
                <a:pPr>
                  <a:defRPr sz="1000" b="0" i="0" u="none" strike="noStrike" baseline="0">
                    <a:solidFill>
                      <a:srgbClr val="000000"/>
                    </a:solidFill>
                    <a:latin typeface="Calibri"/>
                    <a:ea typeface="Calibri"/>
                    <a:cs typeface="Calibri"/>
                  </a:defRPr>
                </a:pPr>
                <a:r>
                  <a:rPr lang="en-US" sz="1000" b="1" i="0" u="none" strike="noStrike" baseline="0">
                    <a:solidFill>
                      <a:srgbClr val="003366"/>
                    </a:solidFill>
                    <a:latin typeface="Arial"/>
                    <a:cs typeface="Arial"/>
                  </a:rPr>
                  <a:t>Number</a:t>
                </a:r>
              </a:p>
            </c:rich>
          </c:tx>
          <c:layout>
            <c:manualLayout>
              <c:xMode val="edge"/>
              <c:yMode val="edge"/>
              <c:x val="2.8182800679326849E-2"/>
              <c:y val="0.14078617057289949"/>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405504"/>
        <c:crosses val="autoZero"/>
        <c:crossBetween val="between"/>
        <c:majorUnit val="200"/>
      </c:valAx>
      <c:spPr>
        <a:noFill/>
        <a:ln w="25400">
          <a:noFill/>
        </a:ln>
      </c:spPr>
    </c:plotArea>
    <c:legend>
      <c:legendPos val="r"/>
      <c:layout>
        <c:manualLayout>
          <c:xMode val="edge"/>
          <c:yMode val="edge"/>
          <c:x val="0.17747967165868817"/>
          <c:y val="0.17131888664670691"/>
          <c:w val="0.40151677731460034"/>
          <c:h val="4.9155137014908305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Relation of first class </a:t>
            </a:r>
            <a:r>
              <a:rPr lang="ar-QA" sz="1200" b="1" i="0" u="none" strike="noStrike" baseline="0">
                <a:effectLst/>
              </a:rPr>
              <a:t>القرابة من الدرجة الأولى</a:t>
            </a:r>
            <a:r>
              <a:rPr lang="ar-QA" sz="1000" b="1" i="0" u="none" strike="noStrike" baseline="0">
                <a:effectLst/>
              </a:rPr>
              <a:t>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16685479309385068"/>
          <c:y val="8.6391255887534601E-3"/>
        </c:manualLayout>
      </c:layout>
      <c:overlay val="0"/>
    </c:title>
    <c:autoTitleDeleted val="0"/>
    <c:plotArea>
      <c:layout>
        <c:manualLayout>
          <c:layoutTarget val="inner"/>
          <c:xMode val="edge"/>
          <c:yMode val="edge"/>
          <c:x val="5.6390642161748022E-2"/>
          <c:y val="0.23358825009887463"/>
          <c:w val="0.91174123188991341"/>
          <c:h val="0.65421493546183429"/>
        </c:manualLayout>
      </c:layout>
      <c:barChart>
        <c:barDir val="col"/>
        <c:grouping val="clustered"/>
        <c:varyColors val="0"/>
        <c:ser>
          <c:idx val="1"/>
          <c:order val="0"/>
          <c:tx>
            <c:strRef>
              <c:f>'41.1'!$K$28</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'41.1'!$I$29:$I$38</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'41.1'!$K$29:$K$38</c:f>
              <c:numCache>
                <c:formatCode>General</c:formatCode>
                <c:ptCount val="10"/>
                <c:pt idx="0">
                  <c:v>0</c:v>
                </c:pt>
                <c:pt idx="1">
                  <c:v>9</c:v>
                </c:pt>
                <c:pt idx="2">
                  <c:v>25</c:v>
                </c:pt>
                <c:pt idx="3">
                  <c:v>11</c:v>
                </c:pt>
                <c:pt idx="4">
                  <c:v>6</c:v>
                </c:pt>
                <c:pt idx="5">
                  <c:v>2</c:v>
                </c:pt>
                <c:pt idx="6">
                  <c:v>1</c:v>
                </c:pt>
                <c:pt idx="7">
                  <c:v>4</c:v>
                </c:pt>
                <c:pt idx="8">
                  <c:v>2</c:v>
                </c:pt>
                <c:pt idx="9">
                  <c:v>2</c:v>
                </c:pt>
              </c:numCache>
            </c:numRef>
          </c:val>
          <c:extLst xmlns:c16r2="http://schemas.microsoft.com/office/drawing/2015/06/chart">
            <c:ext xmlns:c16="http://schemas.microsoft.com/office/drawing/2014/chart" uri="{C3380CC4-5D6E-409C-BE32-E72D297353CC}">
              <c16:uniqueId val="{00000000-DDC3-4F38-810E-857BA197DA43}"/>
            </c:ext>
          </c:extLst>
        </c:ser>
        <c:ser>
          <c:idx val="0"/>
          <c:order val="1"/>
          <c:tx>
            <c:strRef>
              <c:f>'41.1'!$J$28</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'41.1'!$I$29:$I$38</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'41.1'!$J$29:$J$38</c:f>
              <c:numCache>
                <c:formatCode>General</c:formatCode>
                <c:ptCount val="10"/>
                <c:pt idx="0">
                  <c:v>1</c:v>
                </c:pt>
                <c:pt idx="1">
                  <c:v>14</c:v>
                </c:pt>
                <c:pt idx="2">
                  <c:v>23</c:v>
                </c:pt>
                <c:pt idx="3">
                  <c:v>10</c:v>
                </c:pt>
                <c:pt idx="4">
                  <c:v>3</c:v>
                </c:pt>
                <c:pt idx="5">
                  <c:v>3</c:v>
                </c:pt>
                <c:pt idx="6">
                  <c:v>3</c:v>
                </c:pt>
                <c:pt idx="7">
                  <c:v>2</c:v>
                </c:pt>
                <c:pt idx="8">
                  <c:v>0</c:v>
                </c:pt>
                <c:pt idx="9">
                  <c:v>1</c:v>
                </c:pt>
              </c:numCache>
            </c:numRef>
          </c:val>
          <c:extLst xmlns:c16r2="http://schemas.microsoft.com/office/drawing/2015/06/chart">
            <c:ext xmlns:c16="http://schemas.microsoft.com/office/drawing/2014/chart" uri="{C3380CC4-5D6E-409C-BE32-E72D297353CC}">
              <c16:uniqueId val="{00000001-DDC3-4F38-810E-857BA197DA43}"/>
            </c:ext>
          </c:extLst>
        </c:ser>
        <c:dLbls>
          <c:showLegendKey val="0"/>
          <c:showVal val="0"/>
          <c:showCatName val="0"/>
          <c:showSerName val="0"/>
          <c:showPercent val="0"/>
          <c:showBubbleSize val="0"/>
        </c:dLbls>
        <c:gapWidth val="150"/>
        <c:axId val="150846464"/>
        <c:axId val="150848640"/>
      </c:barChart>
      <c:catAx>
        <c:axId val="150846464"/>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الفئات العمرية </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Age groups</a:t>
                </a:r>
                <a:endParaRPr lang="ar-QA" sz="1200" b="1" i="0" u="none" strike="noStrike" baseline="0">
                  <a:solidFill>
                    <a:srgbClr val="000000"/>
                  </a:solidFill>
                  <a:latin typeface="Calibri"/>
                </a:endParaRPr>
              </a:p>
            </c:rich>
          </c:tx>
          <c:layout>
            <c:manualLayout>
              <c:xMode val="edge"/>
              <c:yMode val="edge"/>
              <c:x val="0.47511817009190843"/>
              <c:y val="0.92904109589041095"/>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848640"/>
        <c:crosses val="autoZero"/>
        <c:auto val="1"/>
        <c:lblAlgn val="ctr"/>
        <c:lblOffset val="100"/>
        <c:noMultiLvlLbl val="0"/>
      </c:catAx>
      <c:valAx>
        <c:axId val="150848640"/>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1.6729545066843838E-2"/>
              <c:y val="0.14336982705928883"/>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846464"/>
        <c:crosses val="autoZero"/>
        <c:crossBetween val="between"/>
      </c:valAx>
    </c:plotArea>
    <c:legend>
      <c:legendPos val="r"/>
      <c:layout>
        <c:manualLayout>
          <c:xMode val="edge"/>
          <c:yMode val="edge"/>
          <c:x val="0.35294528890844168"/>
          <c:y val="0.24827400855714954"/>
          <c:w val="0.50169050419438765"/>
          <c:h val="6.1787653255672023E-2"/>
        </c:manualLayout>
      </c:layout>
      <c:overlay val="0"/>
      <c:spPr>
        <a:noFill/>
        <a:ln>
          <a:noFill/>
        </a:ln>
      </c:spPr>
      <c:txPr>
        <a:bodyPr/>
        <a:lstStyle/>
        <a:p>
          <a:pPr>
            <a:defRPr sz="1100" b="1" i="0" u="none" strike="noStrike" baseline="0">
              <a:solidFill>
                <a:sysClr val="windowText" lastClr="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Relation of second class </a:t>
            </a:r>
            <a:r>
              <a:rPr lang="ar-QA" sz="1200" b="1" i="0" u="none" strike="noStrike" baseline="0">
                <a:effectLst/>
              </a:rPr>
              <a:t>القرابة من الدرجة الثانية </a:t>
            </a:r>
            <a:r>
              <a:rPr lang="en-US" sz="1200" b="1" i="0" u="none" strike="noStrike" baseline="0">
                <a:effectLst/>
              </a:rPr>
              <a:t>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13517656883798615"/>
          <c:y val="1.1014754912392706E-2"/>
        </c:manualLayout>
      </c:layout>
      <c:overlay val="0"/>
    </c:title>
    <c:autoTitleDeleted val="0"/>
    <c:plotArea>
      <c:layout>
        <c:manualLayout>
          <c:layoutTarget val="inner"/>
          <c:xMode val="edge"/>
          <c:yMode val="edge"/>
          <c:x val="6.2487473156764485E-2"/>
          <c:y val="0.23931643062383701"/>
          <c:w val="0.91170496301598669"/>
          <c:h val="0.61616584728939339"/>
        </c:manualLayout>
      </c:layout>
      <c:barChart>
        <c:barDir val="col"/>
        <c:grouping val="clustered"/>
        <c:varyColors val="0"/>
        <c:ser>
          <c:idx val="1"/>
          <c:order val="0"/>
          <c:tx>
            <c:strRef>
              <c:f>'41.2'!$C$26</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'41.2'!$A$27:$A$36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'41.2'!$C$27:$C$36</c:f>
              <c:numCache>
                <c:formatCode>General</c:formatCode>
                <c:ptCount val="10"/>
                <c:pt idx="0">
                  <c:v>1</c:v>
                </c:pt>
                <c:pt idx="1">
                  <c:v>18</c:v>
                </c:pt>
                <c:pt idx="2">
                  <c:v>46</c:v>
                </c:pt>
                <c:pt idx="3">
                  <c:v>30</c:v>
                </c:pt>
                <c:pt idx="4">
                  <c:v>28</c:v>
                </c:pt>
                <c:pt idx="5">
                  <c:v>12</c:v>
                </c:pt>
                <c:pt idx="6">
                  <c:v>5</c:v>
                </c:pt>
                <c:pt idx="7">
                  <c:v>4</c:v>
                </c:pt>
                <c:pt idx="8">
                  <c:v>6</c:v>
                </c:pt>
                <c:pt idx="9">
                  <c:v>4</c:v>
                </c:pt>
              </c:numCache>
            </c:numRef>
          </c:val>
          <c:extLst xmlns:c16r2="http://schemas.microsoft.com/office/drawing/2015/06/chart">
            <c:ext xmlns:c16="http://schemas.microsoft.com/office/drawing/2014/chart" uri="{C3380CC4-5D6E-409C-BE32-E72D297353CC}">
              <c16:uniqueId val="{00000000-1D65-4C61-B725-75AA07B3697B}"/>
            </c:ext>
          </c:extLst>
        </c:ser>
        <c:ser>
          <c:idx val="0"/>
          <c:order val="1"/>
          <c:tx>
            <c:strRef>
              <c:f>'41.2'!$B$26</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'41.2'!$A$27:$A$36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'41.2'!$B$27:$B$36</c:f>
              <c:numCache>
                <c:formatCode>General</c:formatCode>
                <c:ptCount val="10"/>
                <c:pt idx="0">
                  <c:v>0</c:v>
                </c:pt>
                <c:pt idx="1">
                  <c:v>22</c:v>
                </c:pt>
                <c:pt idx="2">
                  <c:v>44</c:v>
                </c:pt>
                <c:pt idx="3">
                  <c:v>38</c:v>
                </c:pt>
                <c:pt idx="4">
                  <c:v>14</c:v>
                </c:pt>
                <c:pt idx="5">
                  <c:v>11</c:v>
                </c:pt>
                <c:pt idx="6">
                  <c:v>4</c:v>
                </c:pt>
                <c:pt idx="7">
                  <c:v>5</c:v>
                </c:pt>
                <c:pt idx="8">
                  <c:v>3</c:v>
                </c:pt>
                <c:pt idx="9">
                  <c:v>1</c:v>
                </c:pt>
              </c:numCache>
            </c:numRef>
          </c:val>
          <c:extLst xmlns:c16r2="http://schemas.microsoft.com/office/drawing/2015/06/chart">
            <c:ext xmlns:c16="http://schemas.microsoft.com/office/drawing/2014/chart" uri="{C3380CC4-5D6E-409C-BE32-E72D297353CC}">
              <c16:uniqueId val="{00000001-1D65-4C61-B725-75AA07B3697B}"/>
            </c:ext>
          </c:extLst>
        </c:ser>
        <c:dLbls>
          <c:showLegendKey val="0"/>
          <c:showVal val="0"/>
          <c:showCatName val="0"/>
          <c:showSerName val="0"/>
          <c:showPercent val="0"/>
          <c:showBubbleSize val="0"/>
        </c:dLbls>
        <c:gapWidth val="150"/>
        <c:axId val="151091456"/>
        <c:axId val="151110016"/>
      </c:barChart>
      <c:catAx>
        <c:axId val="151091456"/>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الفئات العمرية </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Age groups</a:t>
                </a:r>
                <a:endParaRPr lang="ar-QA" sz="1200" b="1" i="0" u="none" strike="noStrike" baseline="0">
                  <a:solidFill>
                    <a:srgbClr val="000000"/>
                  </a:solidFill>
                  <a:latin typeface="Calibri"/>
                </a:endParaRPr>
              </a:p>
            </c:rich>
          </c:tx>
          <c:layout>
            <c:manualLayout>
              <c:xMode val="edge"/>
              <c:yMode val="edge"/>
              <c:x val="0.47350453352421851"/>
              <c:y val="0.9186012408347433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110016"/>
        <c:crosses val="autoZero"/>
        <c:auto val="1"/>
        <c:lblAlgn val="ctr"/>
        <c:lblOffset val="100"/>
        <c:noMultiLvlLbl val="0"/>
      </c:catAx>
      <c:valAx>
        <c:axId val="151110016"/>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 </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1.4533404915294678E-2"/>
              <c:y val="0.15797043136105446"/>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091456"/>
        <c:crosses val="autoZero"/>
        <c:crossBetween val="between"/>
      </c:valAx>
    </c:plotArea>
    <c:legend>
      <c:legendPos val="r"/>
      <c:layout>
        <c:manualLayout>
          <c:xMode val="edge"/>
          <c:yMode val="edge"/>
          <c:x val="0.4013196134574088"/>
          <c:y val="0.24950353287057392"/>
          <c:w val="0.50149534717251254"/>
          <c:h val="6.7709441725189792E-2"/>
        </c:manualLayout>
      </c:layout>
      <c:overlay val="0"/>
      <c:spPr>
        <a:noFill/>
        <a:ln>
          <a:noFill/>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No Relation  </a:t>
            </a:r>
            <a:r>
              <a:rPr lang="ar-QA" sz="1200" b="1" i="0" u="none" strike="noStrike" baseline="0">
                <a:effectLst/>
              </a:rPr>
              <a:t>لا توجد صلة قرابة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15348200522553729"/>
          <c:y val="1.7771609057342409E-2"/>
        </c:manualLayout>
      </c:layout>
      <c:overlay val="0"/>
    </c:title>
    <c:autoTitleDeleted val="0"/>
    <c:plotArea>
      <c:layout>
        <c:manualLayout>
          <c:layoutTarget val="inner"/>
          <c:xMode val="edge"/>
          <c:yMode val="edge"/>
          <c:x val="6.5521214610078496E-2"/>
          <c:y val="0.24413168967167009"/>
          <c:w val="0.90261062605269582"/>
          <c:h val="0.62021364024556558"/>
        </c:manualLayout>
      </c:layout>
      <c:barChart>
        <c:barDir val="col"/>
        <c:grouping val="clustered"/>
        <c:varyColors val="0"/>
        <c:ser>
          <c:idx val="1"/>
          <c:order val="0"/>
          <c:tx>
            <c:strRef>
              <c:f>'41.3'!$C$26</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'41.3'!$A$27:$A$36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'41.3'!$C$27:$C$36</c:f>
              <c:numCache>
                <c:formatCode>General</c:formatCode>
                <c:ptCount val="10"/>
                <c:pt idx="0">
                  <c:v>0</c:v>
                </c:pt>
                <c:pt idx="1">
                  <c:v>63</c:v>
                </c:pt>
                <c:pt idx="2">
                  <c:v>189</c:v>
                </c:pt>
                <c:pt idx="3">
                  <c:v>169</c:v>
                </c:pt>
                <c:pt idx="4">
                  <c:v>131</c:v>
                </c:pt>
                <c:pt idx="5">
                  <c:v>102</c:v>
                </c:pt>
                <c:pt idx="6">
                  <c:v>88</c:v>
                </c:pt>
                <c:pt idx="7">
                  <c:v>69</c:v>
                </c:pt>
                <c:pt idx="8">
                  <c:v>37</c:v>
                </c:pt>
                <c:pt idx="9">
                  <c:v>51</c:v>
                </c:pt>
              </c:numCache>
            </c:numRef>
          </c:val>
          <c:extLst xmlns:c16r2="http://schemas.microsoft.com/office/drawing/2015/06/chart">
            <c:ext xmlns:c16="http://schemas.microsoft.com/office/drawing/2014/chart" uri="{C3380CC4-5D6E-409C-BE32-E72D297353CC}">
              <c16:uniqueId val="{00000000-A2FE-427B-A04D-26E6D1D5FAF4}"/>
            </c:ext>
          </c:extLst>
        </c:ser>
        <c:ser>
          <c:idx val="0"/>
          <c:order val="1"/>
          <c:tx>
            <c:strRef>
              <c:f>'41.3'!$B$26</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'41.3'!$A$27:$A$36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'41.3'!$B$27:$B$36</c:f>
              <c:numCache>
                <c:formatCode>General</c:formatCode>
                <c:ptCount val="10"/>
                <c:pt idx="0">
                  <c:v>6</c:v>
                </c:pt>
                <c:pt idx="1">
                  <c:v>88</c:v>
                </c:pt>
                <c:pt idx="2">
                  <c:v>197</c:v>
                </c:pt>
                <c:pt idx="3">
                  <c:v>179</c:v>
                </c:pt>
                <c:pt idx="4">
                  <c:v>137</c:v>
                </c:pt>
                <c:pt idx="5">
                  <c:v>99</c:v>
                </c:pt>
                <c:pt idx="6">
                  <c:v>81</c:v>
                </c:pt>
                <c:pt idx="7">
                  <c:v>47</c:v>
                </c:pt>
                <c:pt idx="8">
                  <c:v>29</c:v>
                </c:pt>
                <c:pt idx="9">
                  <c:v>11</c:v>
                </c:pt>
              </c:numCache>
            </c:numRef>
          </c:val>
          <c:extLst xmlns:c16r2="http://schemas.microsoft.com/office/drawing/2015/06/chart">
            <c:ext xmlns:c16="http://schemas.microsoft.com/office/drawing/2014/chart" uri="{C3380CC4-5D6E-409C-BE32-E72D297353CC}">
              <c16:uniqueId val="{00000001-A2FE-427B-A04D-26E6D1D5FAF4}"/>
            </c:ext>
          </c:extLst>
        </c:ser>
        <c:dLbls>
          <c:showLegendKey val="0"/>
          <c:showVal val="0"/>
          <c:showCatName val="0"/>
          <c:showSerName val="0"/>
          <c:showPercent val="0"/>
          <c:showBubbleSize val="0"/>
        </c:dLbls>
        <c:gapWidth val="150"/>
        <c:axId val="152413696"/>
        <c:axId val="152415616"/>
      </c:barChart>
      <c:catAx>
        <c:axId val="152413696"/>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الفئات العمرية </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Age groups</a:t>
                </a:r>
                <a:endParaRPr lang="ar-QA" sz="1100" b="1" i="0" u="none" strike="noStrike" baseline="0">
                  <a:solidFill>
                    <a:srgbClr val="000000"/>
                  </a:solidFill>
                  <a:latin typeface="Calibri"/>
                </a:endParaRPr>
              </a:p>
            </c:rich>
          </c:tx>
          <c:layout>
            <c:manualLayout>
              <c:xMode val="edge"/>
              <c:yMode val="edge"/>
              <c:x val="0.4810013034085025"/>
              <c:y val="0.91577512776831349"/>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2415616"/>
        <c:crosses val="autoZero"/>
        <c:auto val="1"/>
        <c:lblAlgn val="ctr"/>
        <c:lblOffset val="100"/>
        <c:noMultiLvlLbl val="0"/>
      </c:catAx>
      <c:valAx>
        <c:axId val="152415616"/>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2.5071151820308172E-2"/>
              <c:y val="0.1457954723291616"/>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2413696"/>
        <c:crosses val="autoZero"/>
        <c:crossBetween val="between"/>
      </c:valAx>
    </c:plotArea>
    <c:legend>
      <c:legendPos val="r"/>
      <c:layout>
        <c:manualLayout>
          <c:xMode val="edge"/>
          <c:yMode val="edge"/>
          <c:x val="0.45807774028246967"/>
          <c:y val="0.23390204190577873"/>
          <c:w val="0.45651841138906252"/>
          <c:h val="6.3419191245162154E-2"/>
        </c:manualLayout>
      </c:layout>
      <c:overlay val="0"/>
      <c:spPr>
        <a:noFill/>
        <a:ln>
          <a:noFill/>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ar-QA" sz="1400" b="1" i="0" u="none" strike="noStrike" baseline="0">
                <a:solidFill>
                  <a:srgbClr val="000000"/>
                </a:solidFill>
                <a:latin typeface="Calibri"/>
              </a:rPr>
              <a:t>عدد الأبناء للمطلقة حسب فئة عمرالزوج والزوجة </a:t>
            </a:r>
            <a:endParaRPr lang="en-US" sz="1400" b="1" i="0" u="none" strike="noStrike" baseline="0">
              <a:solidFill>
                <a:srgbClr val="000000"/>
              </a:solidFill>
              <a:latin typeface="Calibri"/>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a:latin typeface="Arial" pitchFamily="34" charset="0"/>
                <a:cs typeface="Arial" pitchFamily="34" charset="0"/>
              </a:rPr>
              <a:t>NUMBER OF CHILDREN OF DIVORCEE BY AGE GROUP OF HUSBAND AND WIFE</a:t>
            </a:r>
            <a:endParaRPr lang="en-US" sz="1200">
              <a:latin typeface="Arial" pitchFamily="34" charset="0"/>
              <a:cs typeface="Arial"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 </a:t>
            </a:r>
            <a:r>
              <a:rPr lang="en-US" sz="1100" b="1" i="0" u="none" strike="noStrike" baseline="0">
                <a:effectLst/>
                <a:latin typeface="Arial" panose="020B0604020202020204" pitchFamily="34" charset="0"/>
                <a:cs typeface="Arial" panose="020B0604020202020204" pitchFamily="34" charset="0"/>
              </a:rPr>
              <a:t>Qataris </a:t>
            </a:r>
            <a:r>
              <a:rPr lang="en-US" sz="1000" b="1" i="0" u="none" strike="noStrike" baseline="0">
                <a:effectLst/>
              </a:rPr>
              <a:t> </a:t>
            </a:r>
            <a:r>
              <a:rPr lang="ar-SA" sz="1200" b="1" i="0" u="none" strike="noStrike" baseline="0">
                <a:solidFill>
                  <a:srgbClr val="000000"/>
                </a:solidFill>
                <a:latin typeface="Arial"/>
                <a:cs typeface="Arial"/>
              </a:rPr>
              <a:t>قطريون  </a:t>
            </a:r>
            <a:endParaRPr lang="en-US" sz="1200" b="1" i="0" u="none" strike="noStrike" baseline="0">
              <a:solidFill>
                <a:srgbClr val="000000"/>
              </a:solidFill>
              <a:latin typeface="Arial"/>
              <a:cs typeface="Arial"/>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16704479940007499"/>
          <c:y val="8.7625026601404546E-3"/>
        </c:manualLayout>
      </c:layout>
      <c:overlay val="0"/>
    </c:title>
    <c:autoTitleDeleted val="0"/>
    <c:plotArea>
      <c:layout>
        <c:manualLayout>
          <c:layoutTarget val="inner"/>
          <c:xMode val="edge"/>
          <c:yMode val="edge"/>
          <c:x val="8.3005144356955385E-2"/>
          <c:y val="0.25250088671348514"/>
          <c:w val="0.89585193850768652"/>
          <c:h val="0.62452135206072212"/>
        </c:manualLayout>
      </c:layout>
      <c:barChart>
        <c:barDir val="col"/>
        <c:grouping val="clustered"/>
        <c:varyColors val="0"/>
        <c:ser>
          <c:idx val="0"/>
          <c:order val="0"/>
          <c:tx>
            <c:strRef>
              <c:f>'42-1'!$B$31</c:f>
              <c:strCache>
                <c:ptCount val="1"/>
                <c:pt idx="0">
                  <c:v>عدد الأبناء للمطلقة حسب فئة عمر الزوجة
Number of children of divorcee by age group of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'42-1'!$A$32:$A$42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'42-1'!$B$32:$B$42</c:f>
              <c:numCache>
                <c:formatCode>General</c:formatCode>
                <c:ptCount val="11"/>
                <c:pt idx="0" formatCode="0">
                  <c:v>0</c:v>
                </c:pt>
                <c:pt idx="1">
                  <c:v>0</c:v>
                </c:pt>
                <c:pt idx="2">
                  <c:v>2</c:v>
                </c:pt>
                <c:pt idx="3">
                  <c:v>7</c:v>
                </c:pt>
                <c:pt idx="4">
                  <c:v>3</c:v>
                </c:pt>
                <c:pt idx="5">
                  <c:v>1</c:v>
                </c:pt>
                <c:pt idx="6">
                  <c:v>20</c:v>
                </c:pt>
                <c:pt idx="7">
                  <c:v>5</c:v>
                </c:pt>
                <c:pt idx="8">
                  <c:v>7</c:v>
                </c:pt>
                <c:pt idx="9">
                  <c:v>0</c:v>
                </c:pt>
                <c:pt idx="10" formatCode="0">
                  <c:v>0</c:v>
                </c:pt>
              </c:numCache>
            </c:numRef>
          </c:val>
          <c:extLst xmlns:c16r2="http://schemas.microsoft.com/office/drawing/2015/06/chart">
            <c:ext xmlns:c16="http://schemas.microsoft.com/office/drawing/2014/chart" uri="{C3380CC4-5D6E-409C-BE32-E72D297353CC}">
              <c16:uniqueId val="{00000000-584C-4BF5-8839-6AC9FA72B00F}"/>
            </c:ext>
          </c:extLst>
        </c:ser>
        <c:ser>
          <c:idx val="1"/>
          <c:order val="1"/>
          <c:tx>
            <c:strRef>
              <c:f>'42-1'!$C$31</c:f>
              <c:strCache>
                <c:ptCount val="1"/>
                <c:pt idx="0">
                  <c:v>عدد الأبناء للمطلقة حسب فئة عمر الزوج
Number of children of divorcee by age group of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'42-1'!$A$32:$A$42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'42-1'!$C$32:$C$42</c:f>
              <c:numCache>
                <c:formatCode>General</c:formatCode>
                <c:ptCount val="11"/>
                <c:pt idx="0">
                  <c:v>0</c:v>
                </c:pt>
                <c:pt idx="1">
                  <c:v>1</c:v>
                </c:pt>
                <c:pt idx="2">
                  <c:v>2</c:v>
                </c:pt>
                <c:pt idx="3">
                  <c:v>4</c:v>
                </c:pt>
                <c:pt idx="4">
                  <c:v>5</c:v>
                </c:pt>
                <c:pt idx="5">
                  <c:v>1</c:v>
                </c:pt>
                <c:pt idx="6">
                  <c:v>7</c:v>
                </c:pt>
                <c:pt idx="7">
                  <c:v>19</c:v>
                </c:pt>
                <c:pt idx="8">
                  <c:v>6</c:v>
                </c:pt>
                <c:pt idx="9">
                  <c:v>0</c:v>
                </c:pt>
                <c:pt idx="10">
                  <c:v>0</c:v>
                </c:pt>
              </c:numCache>
            </c:numRef>
          </c:val>
          <c:extLst xmlns:c16r2="http://schemas.microsoft.com/office/drawing/2015/06/chart">
            <c:ext xmlns:c16="http://schemas.microsoft.com/office/drawing/2014/chart" uri="{C3380CC4-5D6E-409C-BE32-E72D297353CC}">
              <c16:uniqueId val="{00000001-584C-4BF5-8839-6AC9FA72B00F}"/>
            </c:ext>
          </c:extLst>
        </c:ser>
        <c:dLbls>
          <c:showLegendKey val="0"/>
          <c:showVal val="0"/>
          <c:showCatName val="0"/>
          <c:showSerName val="0"/>
          <c:showPercent val="0"/>
          <c:showBubbleSize val="0"/>
        </c:dLbls>
        <c:gapWidth val="150"/>
        <c:axId val="151692416"/>
        <c:axId val="151694336"/>
      </c:barChart>
      <c:catAx>
        <c:axId val="151692416"/>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Calibri"/>
                  </a:rPr>
                  <a:t>الفئات العمرية </a:t>
                </a:r>
                <a:endParaRPr lang="en-US" sz="1200" b="1" i="0" u="none" strike="noStrike" baseline="0">
                  <a:solidFill>
                    <a:sysClr val="windowText" lastClr="000000"/>
                  </a:solidFill>
                  <a:latin typeface="Calibri"/>
                </a:endParaRPr>
              </a:p>
              <a:p>
                <a:pPr>
                  <a:defRPr sz="1100" b="0" i="0" u="none" strike="noStrike" baseline="0">
                    <a:solidFill>
                      <a:sysClr val="windowText" lastClr="000000"/>
                    </a:solidFill>
                    <a:latin typeface="Calibri"/>
                    <a:ea typeface="Calibri"/>
                    <a:cs typeface="Calibri"/>
                  </a:defRPr>
                </a:pPr>
                <a:r>
                  <a:rPr lang="en-US" sz="1100" b="1" i="0" u="none" strike="noStrike" baseline="0">
                    <a:effectLst/>
                  </a:rPr>
                  <a:t>Age groups</a:t>
                </a:r>
                <a:endParaRPr lang="ar-QA" sz="1200" b="1" i="0" u="none" strike="noStrike" baseline="0">
                  <a:solidFill>
                    <a:sysClr val="windowText" lastClr="000000"/>
                  </a:solidFill>
                  <a:latin typeface="Calibri"/>
                </a:endParaRPr>
              </a:p>
            </c:rich>
          </c:tx>
          <c:layout>
            <c:manualLayout>
              <c:xMode val="edge"/>
              <c:yMode val="edge"/>
              <c:x val="0.4577412223472066"/>
              <c:y val="0.92324324324324325"/>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694336"/>
        <c:crosses val="autoZero"/>
        <c:auto val="1"/>
        <c:lblAlgn val="ctr"/>
        <c:lblOffset val="100"/>
        <c:noMultiLvlLbl val="0"/>
      </c:catAx>
      <c:valAx>
        <c:axId val="151694336"/>
        <c:scaling>
          <c:orientation val="minMax"/>
        </c:scaling>
        <c:delete val="0"/>
        <c:axPos val="l"/>
        <c:majorGridlines>
          <c:spPr>
            <a:ln w="3175">
              <a:solidFill>
                <a:schemeClr val="bg1">
                  <a:lumMod val="85000"/>
                </a:schemeClr>
              </a:solidFill>
            </a:ln>
          </c:spPr>
        </c:majorGridlines>
        <c:title>
          <c:tx>
            <c:rich>
              <a:bodyPr rot="0" vert="horz"/>
              <a:lstStyle/>
              <a:p>
                <a:pPr>
                  <a:defRPr sz="1000" b="0" i="0" u="none" strike="noStrike" baseline="0">
                    <a:solidFill>
                      <a:srgbClr val="000000"/>
                    </a:solidFill>
                    <a:latin typeface="Calibri"/>
                    <a:ea typeface="Calibri"/>
                    <a:cs typeface="Calibri"/>
                  </a:defRPr>
                </a:pPr>
                <a:r>
                  <a:rPr lang="ar-QA" sz="1000" b="1" i="0" u="none" strike="noStrike" baseline="0">
                    <a:solidFill>
                      <a:srgbClr val="333399"/>
                    </a:solidFill>
                    <a:latin typeface="Calibri"/>
                  </a:rPr>
                  <a:t>العدد</a:t>
                </a:r>
              </a:p>
              <a:p>
                <a:pPr>
                  <a:defRPr sz="1000" b="0" i="0" u="none" strike="noStrike" baseline="0">
                    <a:solidFill>
                      <a:srgbClr val="000000"/>
                    </a:solidFill>
                    <a:latin typeface="Calibri"/>
                    <a:ea typeface="Calibri"/>
                    <a:cs typeface="Calibri"/>
                  </a:defRPr>
                </a:pPr>
                <a:r>
                  <a:rPr lang="en-US" sz="1000" b="1" i="0" u="none" strike="noStrike" baseline="0">
                    <a:solidFill>
                      <a:srgbClr val="333399"/>
                    </a:solidFill>
                    <a:latin typeface="Calibri"/>
                  </a:rPr>
                  <a:t>Number</a:t>
                </a:r>
                <a:endParaRPr lang="ar-QA" sz="1000" b="1" i="0" u="none" strike="noStrike" baseline="0">
                  <a:solidFill>
                    <a:srgbClr val="333399"/>
                  </a:solidFill>
                  <a:latin typeface="Calibri"/>
                </a:endParaRPr>
              </a:p>
            </c:rich>
          </c:tx>
          <c:layout>
            <c:manualLayout>
              <c:xMode val="edge"/>
              <c:yMode val="edge"/>
              <c:x val="2.73150656167979E-2"/>
              <c:y val="0.16087642760871107"/>
            </c:manualLayout>
          </c:layout>
          <c:overlay val="0"/>
        </c:title>
        <c:numFmt formatCode="0"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692416"/>
        <c:crosses val="autoZero"/>
        <c:crossBetween val="between"/>
      </c:valAx>
    </c:plotArea>
    <c:legend>
      <c:legendPos val="r"/>
      <c:layout>
        <c:manualLayout>
          <c:xMode val="edge"/>
          <c:yMode val="edge"/>
          <c:x val="0.11196196475440572"/>
          <c:y val="0.15447453358870683"/>
          <c:w val="0.83574017247844024"/>
          <c:h val="8.8584805277718656E-2"/>
        </c:manualLayout>
      </c:layout>
      <c:overlay val="1"/>
      <c:txPr>
        <a:bodyPr/>
        <a:lstStyle/>
        <a:p>
          <a:pPr>
            <a:defRPr sz="1000"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متوسط العمر عند أول زواج (قطريون)   </a:t>
            </a:r>
            <a:r>
              <a:rPr lang="ar-QA" sz="1400" b="1" i="0" u="none" strike="noStrike" baseline="0">
                <a:solidFill>
                  <a:schemeClr val="bg1"/>
                </a:solidFill>
                <a:latin typeface="Calibri"/>
              </a:rPr>
              <a:t>ر</a:t>
            </a:r>
            <a:endParaRPr lang="ar-QA" sz="1200" b="1" i="0" u="none" strike="noStrike" baseline="0">
              <a:solidFill>
                <a:schemeClr val="bg1"/>
              </a:solidFill>
              <a:latin typeface="Calibri"/>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pitchFamily="34" charset="0"/>
                <a:cs typeface="Arial" pitchFamily="34" charset="0"/>
              </a:rPr>
              <a:t>AVERAGE AGE AT FIRST MARRIAGE</a:t>
            </a:r>
            <a:r>
              <a:rPr lang="ar-QA" sz="1200" b="1" i="0" u="none" strike="noStrike" baseline="0">
                <a:solidFill>
                  <a:srgbClr val="000000"/>
                </a:solidFill>
                <a:latin typeface="Arial" pitchFamily="34" charset="0"/>
                <a:cs typeface="Arial" pitchFamily="34" charset="0"/>
              </a:rPr>
              <a:t> </a:t>
            </a:r>
            <a:r>
              <a:rPr lang="en-US" sz="1200" b="1" i="0" u="none" strike="noStrike" baseline="0">
                <a:solidFill>
                  <a:srgbClr val="000000"/>
                </a:solidFill>
                <a:latin typeface="Arial" pitchFamily="34" charset="0"/>
                <a:cs typeface="Arial" pitchFamily="34" charset="0"/>
              </a:rPr>
              <a:t>(QATARIS)</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pitchFamily="34" charset="0"/>
                <a:cs typeface="Arial" pitchFamily="34" charset="0"/>
              </a:rPr>
              <a:t>2010 - 2019</a:t>
            </a:r>
          </a:p>
        </c:rich>
      </c:tx>
      <c:layout>
        <c:manualLayout>
          <c:xMode val="edge"/>
          <c:yMode val="edge"/>
          <c:x val="0.32012850088655265"/>
          <c:y val="5.7484525664238534E-3"/>
        </c:manualLayout>
      </c:layout>
      <c:overlay val="0"/>
      <c:spPr>
        <a:noFill/>
        <a:ln w="25400">
          <a:noFill/>
        </a:ln>
      </c:spPr>
    </c:title>
    <c:autoTitleDeleted val="0"/>
    <c:plotArea>
      <c:layout>
        <c:manualLayout>
          <c:layoutTarget val="inner"/>
          <c:xMode val="edge"/>
          <c:yMode val="edge"/>
          <c:x val="7.0098568187451152E-2"/>
          <c:y val="0.16261239043233397"/>
          <c:w val="0.92389259034928362"/>
          <c:h val="0.75801136879747955"/>
        </c:manualLayout>
      </c:layout>
      <c:barChart>
        <c:barDir val="col"/>
        <c:grouping val="clustered"/>
        <c:varyColors val="0"/>
        <c:ser>
          <c:idx val="1"/>
          <c:order val="0"/>
          <c:tx>
            <c:strRef>
              <c:f>'3'!$C$7</c:f>
              <c:strCache>
                <c:ptCount val="1"/>
                <c:pt idx="0">
                  <c:v>إناث
Females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'3'!$F$8:$F$17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'3'!$C$8:$C$17</c:f>
              <c:numCache>
                <c:formatCode>0.0</c:formatCode>
                <c:ptCount val="10"/>
                <c:pt idx="0">
                  <c:v>23.9</c:v>
                </c:pt>
                <c:pt idx="1">
                  <c:v>24.1</c:v>
                </c:pt>
                <c:pt idx="2">
                  <c:v>23.02741358760429</c:v>
                </c:pt>
                <c:pt idx="3">
                  <c:v>23.5</c:v>
                </c:pt>
                <c:pt idx="4">
                  <c:v>24.1</c:v>
                </c:pt>
                <c:pt idx="5">
                  <c:v>23.829462102689487</c:v>
                </c:pt>
                <c:pt idx="6">
                  <c:v>24.1</c:v>
                </c:pt>
                <c:pt idx="7">
                  <c:v>24</c:v>
                </c:pt>
                <c:pt idx="8">
                  <c:v>24.5</c:v>
                </c:pt>
                <c:pt idx="9">
                  <c:v>24.4</c:v>
                </c:pt>
              </c:numCache>
            </c:numRef>
          </c:val>
          <c:extLst xmlns:c16r2="http://schemas.microsoft.com/office/drawing/2015/06/chart">
            <c:ext xmlns:c16="http://schemas.microsoft.com/office/drawing/2014/chart" uri="{C3380CC4-5D6E-409C-BE32-E72D297353CC}">
              <c16:uniqueId val="{00000000-E2A1-4565-ACAF-31928A8D660B}"/>
            </c:ext>
          </c:extLst>
        </c:ser>
        <c:ser>
          <c:idx val="0"/>
          <c:order val="1"/>
          <c:tx>
            <c:strRef>
              <c:f>'3'!$B$7</c:f>
              <c:strCache>
                <c:ptCount val="1"/>
                <c:pt idx="0">
                  <c:v>ذكور 
Males</c:v>
                </c:pt>
              </c:strCache>
            </c:strRef>
          </c:tx>
          <c:spPr>
            <a:solidFill>
              <a:schemeClr val="tx2">
                <a:lumMod val="60000"/>
                <a:lumOff val="40000"/>
              </a:schemeClr>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'3'!$F$8:$F$17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'3'!$B$8:$B$17</c:f>
              <c:numCache>
                <c:formatCode>0.0</c:formatCode>
                <c:ptCount val="10"/>
                <c:pt idx="0">
                  <c:v>26.5</c:v>
                </c:pt>
                <c:pt idx="1">
                  <c:v>26.7</c:v>
                </c:pt>
                <c:pt idx="2">
                  <c:v>26.174934725848566</c:v>
                </c:pt>
                <c:pt idx="3">
                  <c:v>26.1</c:v>
                </c:pt>
                <c:pt idx="4">
                  <c:v>26.5</c:v>
                </c:pt>
                <c:pt idx="5">
                  <c:v>26.254914809960681</c:v>
                </c:pt>
                <c:pt idx="6">
                  <c:v>26.3</c:v>
                </c:pt>
                <c:pt idx="7">
                  <c:v>26.6</c:v>
                </c:pt>
                <c:pt idx="8">
                  <c:v>26.7</c:v>
                </c:pt>
                <c:pt idx="9">
                  <c:v>26.9</c:v>
                </c:pt>
              </c:numCache>
            </c:numRef>
          </c:val>
          <c:extLst xmlns:c16r2="http://schemas.microsoft.com/office/drawing/2015/06/chart">
            <c:ext xmlns:c16="http://schemas.microsoft.com/office/drawing/2014/chart" uri="{C3380CC4-5D6E-409C-BE32-E72D297353CC}">
              <c16:uniqueId val="{00000001-E2A1-4565-ACAF-31928A8D660B}"/>
            </c:ext>
          </c:extLst>
        </c:ser>
        <c:dLbls>
          <c:showLegendKey val="0"/>
          <c:showVal val="0"/>
          <c:showCatName val="0"/>
          <c:showSerName val="0"/>
          <c:showPercent val="0"/>
          <c:showBubbleSize val="0"/>
        </c:dLbls>
        <c:gapWidth val="150"/>
        <c:axId val="138441472"/>
        <c:axId val="138443008"/>
      </c:barChart>
      <c:catAx>
        <c:axId val="138441472"/>
        <c:scaling>
          <c:orientation val="minMax"/>
        </c:scaling>
        <c:delete val="0"/>
        <c:axPos val="b"/>
        <c:majorGridlines>
          <c:spPr>
            <a:ln w="3175">
              <a:solidFill>
                <a:schemeClr val="bg1">
                  <a:lumMod val="85000"/>
                </a:schemeClr>
              </a:solidFill>
              <a:prstDash val="sysDot"/>
            </a:ln>
          </c:spPr>
        </c:majorGridlines>
        <c:numFmt formatCode="General" sourceLinked="1"/>
        <c:majorTickMark val="out"/>
        <c:minorTickMark val="none"/>
        <c:tickLblPos val="nextTo"/>
        <c:txPr>
          <a:bodyPr rot="0" vert="horz"/>
          <a:lstStyle/>
          <a:p>
            <a:pPr rtl="0">
              <a:defRPr sz="1000" b="1" i="0" u="none" strike="noStrike" baseline="0">
                <a:solidFill>
                  <a:sysClr val="windowText" lastClr="000000"/>
                </a:solidFill>
                <a:latin typeface="Arial"/>
                <a:ea typeface="Arial"/>
                <a:cs typeface="Arial"/>
              </a:defRPr>
            </a:pPr>
            <a:endParaRPr lang="en-US"/>
          </a:p>
        </c:txPr>
        <c:crossAx val="138443008"/>
        <c:crosses val="autoZero"/>
        <c:auto val="1"/>
        <c:lblAlgn val="ctr"/>
        <c:lblOffset val="100"/>
        <c:tickLblSkip val="1"/>
        <c:tickMarkSkip val="1"/>
        <c:noMultiLvlLbl val="0"/>
      </c:catAx>
      <c:valAx>
        <c:axId val="138443008"/>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cs typeface="+mn-cs"/>
                  </a:rPr>
                  <a:t>المعدل</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pitchFamily="34" charset="0"/>
                    <a:cs typeface="Arial" pitchFamily="34" charset="0"/>
                  </a:rPr>
                  <a:t>Rate</a:t>
                </a:r>
              </a:p>
            </c:rich>
          </c:tx>
          <c:layout>
            <c:manualLayout>
              <c:xMode val="edge"/>
              <c:yMode val="edge"/>
              <c:x val="1.4667658068165553E-2"/>
              <c:y val="5.4411460599510922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38441472"/>
        <c:crosses val="autoZero"/>
        <c:crossBetween val="between"/>
      </c:valAx>
      <c:spPr>
        <a:noFill/>
        <a:ln w="25400">
          <a:noFill/>
        </a:ln>
      </c:spPr>
    </c:plotArea>
    <c:legend>
      <c:legendPos val="r"/>
      <c:layout>
        <c:manualLayout>
          <c:xMode val="edge"/>
          <c:yMode val="edge"/>
          <c:x val="0.10087777163447788"/>
          <c:y val="9.1772378720040265E-2"/>
          <c:w val="0.21718632628548548"/>
          <c:h val="7.4138887719249022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ar-QA" sz="1400" b="1" i="0" baseline="0">
                <a:cs typeface="+mn-cs"/>
              </a:rPr>
              <a:t>عدد الأبناء للمطلقة حسب فئة عمرالزوج والزوجة </a:t>
            </a:r>
            <a:endParaRPr lang="en-US" sz="1400" b="1" i="0" baseline="0">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en-US" sz="1200" b="1" i="0" baseline="0">
                <a:latin typeface="Arial" pitchFamily="34" charset="0"/>
                <a:cs typeface="Arial" pitchFamily="34" charset="0"/>
              </a:rPr>
              <a:t>NUMBER OF CHILDREN OF DIVORCEE BY AGE GROUP OF HUSBAND AND WIFE</a:t>
            </a:r>
            <a:endParaRPr lang="en-US" sz="1200" b="0" i="0" baseline="0">
              <a:latin typeface="Arial" pitchFamily="34" charset="0"/>
              <a:cs typeface="Arial"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en-US" sz="1100" b="1" i="0" baseline="0">
                <a:effectLst/>
                <a:latin typeface="Arial" panose="020B0604020202020204" pitchFamily="34" charset="0"/>
                <a:cs typeface="Arial" panose="020B0604020202020204" pitchFamily="34" charset="0"/>
              </a:rPr>
              <a:t>Non-Qataris </a:t>
            </a:r>
            <a:r>
              <a:rPr lang="ar-SA" sz="1200" b="1" i="0" baseline="0">
                <a:cs typeface="+mn-cs"/>
              </a:rPr>
              <a:t>غير قطريين </a:t>
            </a:r>
            <a:endParaRPr lang="en-US" sz="1200" b="1" i="0" baseline="0">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en-US" sz="1200" b="1" i="0" baseline="0">
                <a:latin typeface="Arial" pitchFamily="34" charset="0"/>
                <a:cs typeface="Arial" pitchFamily="34" charset="0"/>
              </a:rPr>
              <a:t>2019</a:t>
            </a:r>
            <a:endParaRPr lang="en-US" sz="1200">
              <a:latin typeface="Arial" pitchFamily="34" charset="0"/>
              <a:cs typeface="Arial" pitchFamily="34" charset="0"/>
            </a:endParaRPr>
          </a:p>
        </c:rich>
      </c:tx>
      <c:layout>
        <c:manualLayout>
          <c:xMode val="edge"/>
          <c:yMode val="edge"/>
          <c:x val="0.16704479940007499"/>
          <c:y val="1.326700716464496E-2"/>
        </c:manualLayout>
      </c:layout>
      <c:overlay val="0"/>
    </c:title>
    <c:autoTitleDeleted val="0"/>
    <c:plotArea>
      <c:layout>
        <c:manualLayout>
          <c:layoutTarget val="inner"/>
          <c:xMode val="edge"/>
          <c:yMode val="edge"/>
          <c:x val="5.1005144356955377E-2"/>
          <c:y val="0.23898737319997163"/>
          <c:w val="0.91718527184101983"/>
          <c:h val="0.64704387458324464"/>
        </c:manualLayout>
      </c:layout>
      <c:barChart>
        <c:barDir val="col"/>
        <c:grouping val="clustered"/>
        <c:varyColors val="0"/>
        <c:ser>
          <c:idx val="0"/>
          <c:order val="0"/>
          <c:tx>
            <c:strRef>
              <c:f>'42-2'!$B$31</c:f>
              <c:strCache>
                <c:ptCount val="1"/>
                <c:pt idx="0">
                  <c:v>عدد الأبناء للمطلقة حسب فئة عمر الزوجة
Number of children of divorcee by age group of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'42-2'!$A$32:$A$42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'42-2'!$B$32:$B$42</c:f>
              <c:numCache>
                <c:formatCode>General</c:formatCode>
                <c:ptCount val="11"/>
                <c:pt idx="0">
                  <c:v>0</c:v>
                </c:pt>
                <c:pt idx="1">
                  <c:v>0</c:v>
                </c:pt>
                <c:pt idx="2">
                  <c:v>0</c:v>
                </c:pt>
                <c:pt idx="3">
                  <c:v>5</c:v>
                </c:pt>
                <c:pt idx="4">
                  <c:v>4</c:v>
                </c:pt>
                <c:pt idx="5">
                  <c:v>5</c:v>
                </c:pt>
                <c:pt idx="6">
                  <c:v>7</c:v>
                </c:pt>
                <c:pt idx="7">
                  <c:v>3</c:v>
                </c:pt>
                <c:pt idx="8">
                  <c:v>0</c:v>
                </c:pt>
                <c:pt idx="9">
                  <c:v>0</c:v>
                </c:pt>
                <c:pt idx="10" formatCode="0">
                  <c:v>0</c:v>
                </c:pt>
              </c:numCache>
            </c:numRef>
          </c:val>
          <c:extLst xmlns:c16r2="http://schemas.microsoft.com/office/drawing/2015/06/chart">
            <c:ext xmlns:c16="http://schemas.microsoft.com/office/drawing/2014/chart" uri="{C3380CC4-5D6E-409C-BE32-E72D297353CC}">
              <c16:uniqueId val="{00000000-D1D7-43D3-A245-D3D0606EE79C}"/>
            </c:ext>
          </c:extLst>
        </c:ser>
        <c:ser>
          <c:idx val="1"/>
          <c:order val="1"/>
          <c:tx>
            <c:strRef>
              <c:f>'42-2'!$C$31</c:f>
              <c:strCache>
                <c:ptCount val="1"/>
                <c:pt idx="0">
                  <c:v>عدد الأبناء للمطلقة حسب فئة عمر الزوج
Number of children of divorcee by age group of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'42-2'!$A$32:$A$42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'42-2'!$C$32:$C$42</c:f>
              <c:numCache>
                <c:formatCode>General</c:formatCode>
                <c:ptCount val="11"/>
                <c:pt idx="0">
                  <c:v>0</c:v>
                </c:pt>
                <c:pt idx="1">
                  <c:v>0</c:v>
                </c:pt>
                <c:pt idx="2">
                  <c:v>0</c:v>
                </c:pt>
                <c:pt idx="3">
                  <c:v>0</c:v>
                </c:pt>
                <c:pt idx="4">
                  <c:v>0</c:v>
                </c:pt>
                <c:pt idx="5">
                  <c:v>9</c:v>
                </c:pt>
                <c:pt idx="6">
                  <c:v>5</c:v>
                </c:pt>
                <c:pt idx="7">
                  <c:v>0</c:v>
                </c:pt>
                <c:pt idx="8">
                  <c:v>7</c:v>
                </c:pt>
                <c:pt idx="9">
                  <c:v>0</c:v>
                </c:pt>
                <c:pt idx="10">
                  <c:v>3</c:v>
                </c:pt>
              </c:numCache>
            </c:numRef>
          </c:val>
          <c:extLst xmlns:c16r2="http://schemas.microsoft.com/office/drawing/2015/06/chart">
            <c:ext xmlns:c16="http://schemas.microsoft.com/office/drawing/2014/chart" uri="{C3380CC4-5D6E-409C-BE32-E72D297353CC}">
              <c16:uniqueId val="{00000001-D1D7-43D3-A245-D3D0606EE79C}"/>
            </c:ext>
          </c:extLst>
        </c:ser>
        <c:dLbls>
          <c:showLegendKey val="0"/>
          <c:showVal val="0"/>
          <c:showCatName val="0"/>
          <c:showSerName val="0"/>
          <c:showPercent val="0"/>
          <c:showBubbleSize val="0"/>
        </c:dLbls>
        <c:gapWidth val="150"/>
        <c:axId val="151359872"/>
        <c:axId val="151361792"/>
      </c:barChart>
      <c:catAx>
        <c:axId val="151359872"/>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Calibri"/>
                  </a:rPr>
                  <a:t>الفئات العمرية </a:t>
                </a:r>
                <a:endParaRPr lang="en-US" sz="1200" b="1" i="0" u="none" strike="noStrike" baseline="0">
                  <a:solidFill>
                    <a:sysClr val="windowText" lastClr="000000"/>
                  </a:solidFill>
                  <a:latin typeface="Calibri"/>
                </a:endParaRPr>
              </a:p>
              <a:p>
                <a:pPr>
                  <a:defRPr sz="1100" b="0" i="0" u="none" strike="noStrike" baseline="0">
                    <a:solidFill>
                      <a:sysClr val="windowText" lastClr="000000"/>
                    </a:solidFill>
                    <a:latin typeface="Calibri"/>
                    <a:ea typeface="Calibri"/>
                    <a:cs typeface="Calibri"/>
                  </a:defRPr>
                </a:pPr>
                <a:r>
                  <a:rPr lang="en-US" sz="1100" b="1" i="0" u="none" strike="noStrike" baseline="0">
                    <a:effectLst/>
                  </a:rPr>
                  <a:t>Age groups</a:t>
                </a:r>
                <a:endParaRPr lang="ar-QA" sz="1200" b="1" i="0" u="none" strike="noStrike" baseline="0">
                  <a:solidFill>
                    <a:sysClr val="windowText" lastClr="000000"/>
                  </a:solidFill>
                  <a:latin typeface="Calibri"/>
                </a:endParaRPr>
              </a:p>
            </c:rich>
          </c:tx>
          <c:layout>
            <c:manualLayout>
              <c:xMode val="edge"/>
              <c:yMode val="edge"/>
              <c:x val="0.49583642902426023"/>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361792"/>
        <c:crosses val="autoZero"/>
        <c:auto val="1"/>
        <c:lblAlgn val="ctr"/>
        <c:lblOffset val="100"/>
        <c:noMultiLvlLbl val="0"/>
      </c:catAx>
      <c:valAx>
        <c:axId val="151361792"/>
        <c:scaling>
          <c:orientation val="minMax"/>
        </c:scaling>
        <c:delete val="0"/>
        <c:axPos val="l"/>
        <c:majorGridlines>
          <c:spPr>
            <a:ln w="3175">
              <a:solidFill>
                <a:schemeClr val="bg1">
                  <a:lumMod val="85000"/>
                </a:schemeClr>
              </a:solidFill>
            </a:ln>
          </c:spPr>
        </c:majorGridlines>
        <c:title>
          <c:tx>
            <c:rich>
              <a:bodyPr rot="0" vert="horz"/>
              <a:lstStyle/>
              <a:p>
                <a:pPr>
                  <a:defRPr sz="1000" b="0" i="0" u="none" strike="noStrike" baseline="0">
                    <a:solidFill>
                      <a:srgbClr val="000000"/>
                    </a:solidFill>
                    <a:latin typeface="Calibri"/>
                    <a:ea typeface="Calibri"/>
                    <a:cs typeface="Calibri"/>
                  </a:defRPr>
                </a:pPr>
                <a:r>
                  <a:rPr lang="ar-QA" sz="1000" b="1" i="0" u="none" strike="noStrike" baseline="0">
                    <a:solidFill>
                      <a:srgbClr val="333399"/>
                    </a:solidFill>
                    <a:latin typeface="Calibri"/>
                  </a:rPr>
                  <a:t>العدد</a:t>
                </a:r>
              </a:p>
              <a:p>
                <a:pPr>
                  <a:defRPr sz="1000" b="0" i="0" u="none" strike="noStrike" baseline="0">
                    <a:solidFill>
                      <a:srgbClr val="000000"/>
                    </a:solidFill>
                    <a:latin typeface="Calibri"/>
                    <a:ea typeface="Calibri"/>
                    <a:cs typeface="Calibri"/>
                  </a:defRPr>
                </a:pPr>
                <a:r>
                  <a:rPr lang="en-US" sz="1000" b="1" i="0" u="none" strike="noStrike" baseline="0">
                    <a:solidFill>
                      <a:srgbClr val="333399"/>
                    </a:solidFill>
                    <a:latin typeface="Calibri"/>
                  </a:rPr>
                  <a:t>Number</a:t>
                </a:r>
                <a:endParaRPr lang="ar-QA" sz="1000" b="1" i="0" u="none" strike="noStrike" baseline="0">
                  <a:solidFill>
                    <a:srgbClr val="333399"/>
                  </a:solidFill>
                  <a:latin typeface="Calibri"/>
                </a:endParaRPr>
              </a:p>
            </c:rich>
          </c:tx>
          <c:layout>
            <c:manualLayout>
              <c:xMode val="edge"/>
              <c:yMode val="edge"/>
              <c:x val="1.2076970378702662E-2"/>
              <c:y val="0.14285840959069304"/>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359872"/>
        <c:crosses val="autoZero"/>
        <c:crossBetween val="between"/>
      </c:valAx>
    </c:plotArea>
    <c:legend>
      <c:legendPos val="r"/>
      <c:layout>
        <c:manualLayout>
          <c:xMode val="edge"/>
          <c:yMode val="edge"/>
          <c:x val="7.8438155230596149E-2"/>
          <c:y val="0.16798804710222034"/>
          <c:w val="0.8860258867641545"/>
          <c:h val="7.5071291764205142E-2"/>
        </c:manualLayout>
      </c:layout>
      <c:overlay val="0"/>
      <c:txPr>
        <a:bodyPr/>
        <a:lstStyle/>
        <a:p>
          <a:pPr>
            <a:defRPr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عدد الأبناء للمطلقة حسب فئة عمرالزوج والزوجة </a:t>
            </a:r>
            <a:endParaRPr lang="en-US" sz="1400" b="1" i="0" u="none" strike="noStrike" baseline="0">
              <a:solidFill>
                <a:srgbClr val="000000"/>
              </a:solidFill>
              <a:latin typeface="Calibri"/>
            </a:endParaRPr>
          </a:p>
          <a:p>
            <a:pPr rtl="0">
              <a:defRPr sz="1000" b="0" i="0" u="none" strike="noStrike" baseline="0">
                <a:solidFill>
                  <a:srgbClr val="000000"/>
                </a:solidFill>
                <a:latin typeface="Calibri"/>
                <a:ea typeface="Calibri"/>
                <a:cs typeface="Calibri"/>
              </a:defRPr>
            </a:pPr>
            <a:r>
              <a:rPr lang="en-US" sz="1200" b="1" i="0" baseline="0"/>
              <a:t>NUMBER OF CHILDREN OF DIVORCEE BY AGE GROUP OF HUSBAND AND WIFE</a:t>
            </a:r>
            <a:endParaRPr lang="en-US" sz="1200" b="0" i="0" baseline="0"/>
          </a:p>
          <a:p>
            <a:pPr rtl="0">
              <a:defRPr sz="1000" b="0" i="0" u="none" strike="noStrike" baseline="0">
                <a:solidFill>
                  <a:srgbClr val="000000"/>
                </a:solidFill>
                <a:latin typeface="Calibri"/>
                <a:ea typeface="Calibri"/>
                <a:cs typeface="Calibri"/>
              </a:defRPr>
            </a:pPr>
            <a:r>
              <a:rPr lang="en-US" sz="1100" b="1" i="0" u="none" strike="noStrike" baseline="0">
                <a:effectLst/>
                <a:latin typeface="Arial" panose="020B0604020202020204" pitchFamily="34" charset="0"/>
                <a:cs typeface="Arial" panose="020B0604020202020204" pitchFamily="34" charset="0"/>
              </a:rPr>
              <a:t>Total</a:t>
            </a:r>
            <a:r>
              <a:rPr lang="en-US" sz="1000" b="1" i="0" u="none" strike="noStrike" baseline="0">
                <a:effectLst/>
              </a:rPr>
              <a:t> </a:t>
            </a:r>
            <a:r>
              <a:rPr lang="ar-QA" sz="1200" b="1" i="0" u="none" strike="noStrike" baseline="0">
                <a:solidFill>
                  <a:srgbClr val="000000"/>
                </a:solidFill>
                <a:latin typeface="Arial"/>
                <a:cs typeface="Arial"/>
              </a:rPr>
              <a:t>المجموع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19294956130483693"/>
          <c:y val="6.5102504078882123E-3"/>
        </c:manualLayout>
      </c:layout>
      <c:overlay val="0"/>
    </c:title>
    <c:autoTitleDeleted val="0"/>
    <c:plotArea>
      <c:layout>
        <c:manualLayout>
          <c:layoutTarget val="inner"/>
          <c:xMode val="edge"/>
          <c:yMode val="edge"/>
          <c:x val="7.9957525309336336E-2"/>
          <c:y val="0.22772611193871037"/>
          <c:w val="0.88975670041244848"/>
          <c:h val="0.64704387458324464"/>
        </c:manualLayout>
      </c:layout>
      <c:barChart>
        <c:barDir val="col"/>
        <c:grouping val="clustered"/>
        <c:varyColors val="0"/>
        <c:ser>
          <c:idx val="0"/>
          <c:order val="0"/>
          <c:tx>
            <c:strRef>
              <c:f>'42-3'!$B$31</c:f>
              <c:strCache>
                <c:ptCount val="1"/>
                <c:pt idx="0">
                  <c:v>عدد الأبناء للمطلقة حسب فئة عمر الزوجة
Number of children of divorcee by age group of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'42-3'!$A$32:$A$42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'42-3'!$B$32:$B$42</c:f>
              <c:numCache>
                <c:formatCode>General</c:formatCode>
                <c:ptCount val="11"/>
                <c:pt idx="0">
                  <c:v>0</c:v>
                </c:pt>
                <c:pt idx="1">
                  <c:v>0</c:v>
                </c:pt>
                <c:pt idx="2">
                  <c:v>2</c:v>
                </c:pt>
                <c:pt idx="3">
                  <c:v>12</c:v>
                </c:pt>
                <c:pt idx="4">
                  <c:v>7</c:v>
                </c:pt>
                <c:pt idx="5">
                  <c:v>6</c:v>
                </c:pt>
                <c:pt idx="6">
                  <c:v>27</c:v>
                </c:pt>
                <c:pt idx="7">
                  <c:v>8</c:v>
                </c:pt>
                <c:pt idx="8">
                  <c:v>7</c:v>
                </c:pt>
                <c:pt idx="9">
                  <c:v>0</c:v>
                </c:pt>
                <c:pt idx="10" formatCode="0">
                  <c:v>0</c:v>
                </c:pt>
              </c:numCache>
            </c:numRef>
          </c:val>
          <c:extLst xmlns:c16r2="http://schemas.microsoft.com/office/drawing/2015/06/chart">
            <c:ext xmlns:c16="http://schemas.microsoft.com/office/drawing/2014/chart" uri="{C3380CC4-5D6E-409C-BE32-E72D297353CC}">
              <c16:uniqueId val="{00000000-D057-4B67-B692-91416ADF0A36}"/>
            </c:ext>
          </c:extLst>
        </c:ser>
        <c:ser>
          <c:idx val="1"/>
          <c:order val="1"/>
          <c:tx>
            <c:strRef>
              <c:f>'42-3'!$C$31</c:f>
              <c:strCache>
                <c:ptCount val="1"/>
                <c:pt idx="0">
                  <c:v>عدد الأبناء للمطلقة حسب فئة عمر الزوج
Number of children of divorcee by age group of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'42-3'!$A$32:$A$42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'42-3'!$C$32:$C$42</c:f>
              <c:numCache>
                <c:formatCode>General</c:formatCode>
                <c:ptCount val="11"/>
                <c:pt idx="0">
                  <c:v>0</c:v>
                </c:pt>
                <c:pt idx="1">
                  <c:v>1</c:v>
                </c:pt>
                <c:pt idx="2">
                  <c:v>2</c:v>
                </c:pt>
                <c:pt idx="3">
                  <c:v>4</c:v>
                </c:pt>
                <c:pt idx="4">
                  <c:v>5</c:v>
                </c:pt>
                <c:pt idx="5">
                  <c:v>10</c:v>
                </c:pt>
                <c:pt idx="6">
                  <c:v>12</c:v>
                </c:pt>
                <c:pt idx="7">
                  <c:v>19</c:v>
                </c:pt>
                <c:pt idx="8">
                  <c:v>13</c:v>
                </c:pt>
                <c:pt idx="9">
                  <c:v>0</c:v>
                </c:pt>
                <c:pt idx="10">
                  <c:v>3</c:v>
                </c:pt>
              </c:numCache>
            </c:numRef>
          </c:val>
          <c:extLst xmlns:c16r2="http://schemas.microsoft.com/office/drawing/2015/06/chart">
            <c:ext xmlns:c16="http://schemas.microsoft.com/office/drawing/2014/chart" uri="{C3380CC4-5D6E-409C-BE32-E72D297353CC}">
              <c16:uniqueId val="{00000001-D057-4B67-B692-91416ADF0A36}"/>
            </c:ext>
          </c:extLst>
        </c:ser>
        <c:dLbls>
          <c:showLegendKey val="0"/>
          <c:showVal val="0"/>
          <c:showCatName val="0"/>
          <c:showSerName val="0"/>
          <c:showPercent val="0"/>
          <c:showBubbleSize val="0"/>
        </c:dLbls>
        <c:gapWidth val="150"/>
        <c:axId val="151457152"/>
        <c:axId val="151492096"/>
      </c:barChart>
      <c:catAx>
        <c:axId val="151457152"/>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Calibri"/>
                  </a:rPr>
                  <a:t>الفئات العمرية </a:t>
                </a:r>
                <a:endParaRPr lang="en-US" sz="1200" b="1" i="0" u="none" strike="noStrike" baseline="0">
                  <a:solidFill>
                    <a:sysClr val="windowText" lastClr="000000"/>
                  </a:solidFill>
                  <a:latin typeface="Calibri"/>
                </a:endParaRPr>
              </a:p>
              <a:p>
                <a:pPr>
                  <a:defRPr sz="1100" b="0" i="0" u="none" strike="noStrike" baseline="0">
                    <a:solidFill>
                      <a:sysClr val="windowText" lastClr="000000"/>
                    </a:solidFill>
                    <a:latin typeface="Calibri"/>
                    <a:ea typeface="Calibri"/>
                    <a:cs typeface="Calibri"/>
                  </a:defRPr>
                </a:pPr>
                <a:r>
                  <a:rPr lang="en-US" sz="1100" b="1" i="0" u="none" strike="noStrike" baseline="0">
                    <a:effectLst/>
                  </a:rPr>
                  <a:t>Age groups</a:t>
                </a:r>
                <a:endParaRPr lang="ar-QA" sz="1200" b="1" i="0" u="none" strike="noStrike" baseline="0">
                  <a:solidFill>
                    <a:sysClr val="windowText" lastClr="000000"/>
                  </a:solidFill>
                  <a:latin typeface="Calibri"/>
                </a:endParaRPr>
              </a:p>
            </c:rich>
          </c:tx>
          <c:layout>
            <c:manualLayout>
              <c:xMode val="edge"/>
              <c:yMode val="edge"/>
              <c:x val="0.49583642902426051"/>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492096"/>
        <c:crosses val="autoZero"/>
        <c:auto val="1"/>
        <c:lblAlgn val="ctr"/>
        <c:lblOffset val="100"/>
        <c:noMultiLvlLbl val="0"/>
      </c:catAx>
      <c:valAx>
        <c:axId val="151492096"/>
        <c:scaling>
          <c:orientation val="minMax"/>
        </c:scaling>
        <c:delete val="0"/>
        <c:axPos val="l"/>
        <c:majorGridlines>
          <c:spPr>
            <a:ln w="3175">
              <a:solidFill>
                <a:schemeClr val="bg1">
                  <a:lumMod val="85000"/>
                </a:schemeClr>
              </a:solidFill>
            </a:ln>
          </c:spPr>
        </c:majorGridlines>
        <c:title>
          <c:tx>
            <c:rich>
              <a:bodyPr rot="0" vert="horz"/>
              <a:lstStyle/>
              <a:p>
                <a:pPr rtl="0">
                  <a:defRPr sz="1100" b="0" i="0" u="none" strike="noStrike" baseline="0">
                    <a:solidFill>
                      <a:srgbClr val="000000"/>
                    </a:solidFill>
                    <a:latin typeface="Calibri"/>
                    <a:ea typeface="Calibri"/>
                    <a:cs typeface="Calibri"/>
                  </a:defRPr>
                </a:pPr>
                <a:r>
                  <a:rPr lang="ar-QA" sz="1000" b="1" i="0" baseline="0">
                    <a:solidFill>
                      <a:schemeClr val="tx2"/>
                    </a:solidFill>
                    <a:effectLst/>
                  </a:rPr>
                  <a:t>العدد</a:t>
                </a:r>
                <a:endParaRPr lang="en-US" sz="1000">
                  <a:solidFill>
                    <a:schemeClr val="tx2"/>
                  </a:solidFill>
                  <a:effectLst/>
                </a:endParaRPr>
              </a:p>
              <a:p>
                <a:pPr rtl="0">
                  <a:defRPr sz="1100" b="0" i="0" u="none" strike="noStrike" baseline="0">
                    <a:solidFill>
                      <a:srgbClr val="000000"/>
                    </a:solidFill>
                    <a:latin typeface="Calibri"/>
                    <a:ea typeface="Calibri"/>
                    <a:cs typeface="Calibri"/>
                  </a:defRPr>
                </a:pPr>
                <a:r>
                  <a:rPr lang="en-US" sz="1000" b="1" i="0" baseline="0">
                    <a:solidFill>
                      <a:schemeClr val="tx2"/>
                    </a:solidFill>
                    <a:effectLst/>
                  </a:rPr>
                  <a:t>Number</a:t>
                </a:r>
                <a:endParaRPr lang="en-US" sz="1000">
                  <a:solidFill>
                    <a:schemeClr val="tx2"/>
                  </a:solidFill>
                  <a:effectLst/>
                </a:endParaRPr>
              </a:p>
            </c:rich>
          </c:tx>
          <c:layout>
            <c:manualLayout>
              <c:xMode val="edge"/>
              <c:yMode val="edge"/>
              <c:x val="1.8172208473940757E-2"/>
              <c:y val="0.14285840959069304"/>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457152"/>
        <c:crosses val="autoZero"/>
        <c:crossBetween val="between"/>
      </c:valAx>
    </c:plotArea>
    <c:legend>
      <c:legendPos val="r"/>
      <c:layout>
        <c:manualLayout>
          <c:xMode val="edge"/>
          <c:yMode val="edge"/>
          <c:x val="7.6914345706786624E-2"/>
          <c:y val="0.14771777683195009"/>
          <c:w val="0.8860258867641545"/>
          <c:h val="7.2819039511952885E-2"/>
        </c:manualLayout>
      </c:layout>
      <c:overlay val="1"/>
      <c:txPr>
        <a:bodyPr/>
        <a:lstStyle/>
        <a:p>
          <a:pPr>
            <a:defRPr sz="1000"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66" l="0.70000000000000062" r="0.70000000000000062" t="0.75000000000001266"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عدد أبناء الزوجة وجنسية الزوج والزوجة</a:t>
            </a:r>
          </a:p>
          <a:p>
            <a:pPr>
              <a:defRPr sz="1000" b="0" i="0" u="none" strike="noStrike" baseline="0">
                <a:solidFill>
                  <a:srgbClr val="000000"/>
                </a:solidFill>
                <a:latin typeface="Calibri"/>
                <a:ea typeface="Calibri"/>
                <a:cs typeface="Calibri"/>
              </a:defRPr>
            </a:pPr>
            <a:r>
              <a:rPr lang="en-US" sz="1200" b="1"/>
              <a:t>DIVORCES BY NUMBER OF WIFE'S CHILDREN &amp; NATIONALITY OF HUSBAND &amp; WIFE</a:t>
            </a:r>
            <a:endParaRPr lang="en-US" sz="1200"/>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17359918102582847"/>
          <c:y val="1.9526759155106078E-2"/>
        </c:manualLayout>
      </c:layout>
      <c:overlay val="0"/>
      <c:spPr>
        <a:noFill/>
        <a:ln w="25400">
          <a:noFill/>
        </a:ln>
      </c:spPr>
    </c:title>
    <c:autoTitleDeleted val="0"/>
    <c:plotArea>
      <c:layout>
        <c:manualLayout>
          <c:layoutTarget val="inner"/>
          <c:xMode val="edge"/>
          <c:yMode val="edge"/>
          <c:x val="4.0851375959536043E-2"/>
          <c:y val="0.21014253218347706"/>
          <c:w val="0.92950558579934484"/>
          <c:h val="0.60515475565554311"/>
        </c:manualLayout>
      </c:layout>
      <c:barChart>
        <c:barDir val="col"/>
        <c:grouping val="clustered"/>
        <c:varyColors val="0"/>
        <c:ser>
          <c:idx val="0"/>
          <c:order val="0"/>
          <c:tx>
            <c:strRef>
              <c:f>'44'!$B$22</c:f>
              <c:strCache>
                <c:ptCount val="1"/>
                <c:pt idx="0">
                  <c:v>عدد الحالات
No. of cases</c:v>
                </c:pt>
              </c:strCache>
            </c:strRef>
          </c:tx>
          <c:spPr>
            <a:solidFill>
              <a:schemeClr val="accent3">
                <a:lumMod val="60000"/>
                <a:lumOff val="40000"/>
              </a:schemeClr>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'44'!$A$23:$A$26</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'44'!$B$23:$B$26</c:f>
              <c:numCache>
                <c:formatCode>General</c:formatCode>
                <c:ptCount val="4"/>
                <c:pt idx="0" formatCode="#,##0">
                  <c:v>923</c:v>
                </c:pt>
                <c:pt idx="1">
                  <c:v>192</c:v>
                </c:pt>
                <c:pt idx="2">
                  <c:v>69</c:v>
                </c:pt>
                <c:pt idx="3">
                  <c:v>649</c:v>
                </c:pt>
              </c:numCache>
            </c:numRef>
          </c:val>
          <c:extLst xmlns:c16r2="http://schemas.microsoft.com/office/drawing/2015/06/chart">
            <c:ext xmlns:c16="http://schemas.microsoft.com/office/drawing/2014/chart" uri="{C3380CC4-5D6E-409C-BE32-E72D297353CC}">
              <c16:uniqueId val="{00000000-7CEC-47CF-8E3A-578C05356E0D}"/>
            </c:ext>
          </c:extLst>
        </c:ser>
        <c:ser>
          <c:idx val="1"/>
          <c:order val="1"/>
          <c:tx>
            <c:strRef>
              <c:f>'44'!$C$22</c:f>
              <c:strCache>
                <c:ptCount val="1"/>
                <c:pt idx="0">
                  <c:v>عدد الأبناء
No. of children</c:v>
                </c:pt>
              </c:strCache>
            </c:strRef>
          </c:tx>
          <c:spPr>
            <a:solidFill>
              <a:schemeClr val="accent1"/>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'44'!$A$23:$A$26</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'44'!$C$23:$C$26</c:f>
              <c:numCache>
                <c:formatCode>General</c:formatCode>
                <c:ptCount val="4"/>
                <c:pt idx="0">
                  <c:v>42</c:v>
                </c:pt>
                <c:pt idx="1">
                  <c:v>3</c:v>
                </c:pt>
                <c:pt idx="2">
                  <c:v>0</c:v>
                </c:pt>
                <c:pt idx="3">
                  <c:v>24</c:v>
                </c:pt>
              </c:numCache>
            </c:numRef>
          </c:val>
          <c:extLst xmlns:c16r2="http://schemas.microsoft.com/office/drawing/2015/06/chart">
            <c:ext xmlns:c16="http://schemas.microsoft.com/office/drawing/2014/chart" uri="{C3380CC4-5D6E-409C-BE32-E72D297353CC}">
              <c16:uniqueId val="{00000001-7CEC-47CF-8E3A-578C05356E0D}"/>
            </c:ext>
          </c:extLst>
        </c:ser>
        <c:dLbls>
          <c:showLegendKey val="0"/>
          <c:showVal val="1"/>
          <c:showCatName val="0"/>
          <c:showSerName val="0"/>
          <c:showPercent val="0"/>
          <c:showBubbleSize val="0"/>
        </c:dLbls>
        <c:gapWidth val="150"/>
        <c:axId val="152576000"/>
        <c:axId val="152577920"/>
      </c:barChart>
      <c:catAx>
        <c:axId val="152576000"/>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الجنسية</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Nationality</a:t>
                </a:r>
                <a:endParaRPr lang="ar-QA" sz="1200" b="1" i="0" u="none" strike="noStrike" baseline="0">
                  <a:solidFill>
                    <a:srgbClr val="000000"/>
                  </a:solidFill>
                  <a:latin typeface="Calibri"/>
                </a:endParaRPr>
              </a:p>
            </c:rich>
          </c:tx>
          <c:layout>
            <c:manualLayout>
              <c:xMode val="edge"/>
              <c:yMode val="edge"/>
              <c:x val="0.48107461658422873"/>
              <c:y val="0.9539405574303250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52577920"/>
        <c:crosses val="autoZero"/>
        <c:auto val="1"/>
        <c:lblAlgn val="ctr"/>
        <c:lblOffset val="100"/>
        <c:tickLblSkip val="1"/>
        <c:tickMarkSkip val="1"/>
        <c:noMultiLvlLbl val="0"/>
      </c:catAx>
      <c:valAx>
        <c:axId val="152577920"/>
        <c:scaling>
          <c:orientation val="minMax"/>
        </c:scaling>
        <c:delete val="1"/>
        <c:axPos val="l"/>
        <c:majorGridlines>
          <c:spPr>
            <a:ln w="3175">
              <a:solidFill>
                <a:schemeClr val="bg1">
                  <a:lumMod val="85000"/>
                </a:schemeClr>
              </a:solidFill>
            </a:ln>
          </c:spPr>
        </c:majorGridlines>
        <c:numFmt formatCode="#,##0" sourceLinked="1"/>
        <c:majorTickMark val="out"/>
        <c:minorTickMark val="none"/>
        <c:tickLblPos val="none"/>
        <c:crossAx val="152576000"/>
        <c:crosses val="autoZero"/>
        <c:crossBetween val="between"/>
      </c:valAx>
    </c:plotArea>
    <c:legend>
      <c:legendPos val="r"/>
      <c:layout>
        <c:manualLayout>
          <c:xMode val="edge"/>
          <c:yMode val="edge"/>
          <c:x val="0.29819041149625436"/>
          <c:y val="0.19575053118360206"/>
          <c:w val="0.14543386815408721"/>
          <c:h val="0.20597745281839769"/>
        </c:manualLayout>
      </c:layout>
      <c:overlay val="0"/>
      <c:spPr>
        <a:noFill/>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معدلات الزواج والطلاق الخام لكل ألف من السكان</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AND DIVORCES CRUDE RATE PER 1000 POPULATION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2010 - 2019</a:t>
            </a:r>
          </a:p>
        </c:rich>
      </c:tx>
      <c:layout>
        <c:manualLayout>
          <c:xMode val="edge"/>
          <c:yMode val="edge"/>
          <c:x val="0.18980007207483029"/>
          <c:y val="2.7145806774153271E-2"/>
        </c:manualLayout>
      </c:layout>
      <c:overlay val="0"/>
      <c:spPr>
        <a:noFill/>
        <a:ln w="25400">
          <a:noFill/>
        </a:ln>
      </c:spPr>
    </c:title>
    <c:autoTitleDeleted val="0"/>
    <c:plotArea>
      <c:layout>
        <c:manualLayout>
          <c:layoutTarget val="inner"/>
          <c:xMode val="edge"/>
          <c:yMode val="edge"/>
          <c:x val="5.5432177903644901E-2"/>
          <c:y val="0.17966634170729129"/>
          <c:w val="0.92950558579932918"/>
          <c:h val="0.76007539057620199"/>
        </c:manualLayout>
      </c:layout>
      <c:lineChart>
        <c:grouping val="standard"/>
        <c:varyColors val="0"/>
        <c:ser>
          <c:idx val="0"/>
          <c:order val="0"/>
          <c:tx>
            <c:strRef>
              <c:f>'4'!$E$6:$E$7</c:f>
              <c:strCache>
                <c:ptCount val="1"/>
                <c:pt idx="0">
                  <c:v>معدل الطلاق الخام Crude Divorces Rate</c:v>
                </c:pt>
              </c:strCache>
            </c:strRef>
          </c:tx>
          <c:spPr>
            <a:ln w="44450"/>
          </c:spP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F81-480E-B03C-FA08713CA730}"/>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F81-480E-B03C-FA08713CA730}"/>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F81-480E-B03C-FA08713CA730}"/>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F81-480E-B03C-FA08713CA730}"/>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F81-480E-B03C-FA08713CA730}"/>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F81-480E-B03C-FA08713CA730}"/>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F81-480E-B03C-FA08713CA730}"/>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F81-480E-B03C-FA08713CA730}"/>
                </c:ext>
              </c:extLst>
            </c:dLbl>
            <c:dLbl>
              <c:idx val="9"/>
              <c:layout>
                <c:manualLayout>
                  <c:x val="-2.8270554880518429E-2"/>
                  <c:y val="-2.222222222222222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F81-480E-B03C-FA08713CA730}"/>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'4'!$F$8:$F$17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'4'!$E$8:$E$17</c:f>
              <c:numCache>
                <c:formatCode>0.0</c:formatCode>
                <c:ptCount val="10"/>
                <c:pt idx="0">
                  <c:v>0.7</c:v>
                </c:pt>
                <c:pt idx="1">
                  <c:v>0.6</c:v>
                </c:pt>
                <c:pt idx="2">
                  <c:v>0.8</c:v>
                </c:pt>
                <c:pt idx="3">
                  <c:v>0.7</c:v>
                </c:pt>
                <c:pt idx="4">
                  <c:v>0.6</c:v>
                </c:pt>
                <c:pt idx="5">
                  <c:v>0.53614134113274736</c:v>
                </c:pt>
                <c:pt idx="6">
                  <c:v>0.4397100587782708</c:v>
                </c:pt>
                <c:pt idx="7">
                  <c:v>0.44263280635805691</c:v>
                </c:pt>
                <c:pt idx="8">
                  <c:v>0.42823449280297954</c:v>
                </c:pt>
                <c:pt idx="9">
                  <c:v>0.65482948354566772</c:v>
                </c:pt>
              </c:numCache>
            </c:numRef>
          </c:val>
          <c:smooth val="0"/>
          <c:extLst xmlns:c16r2="http://schemas.microsoft.com/office/drawing/2015/06/chart">
            <c:ext xmlns:c16="http://schemas.microsoft.com/office/drawing/2014/chart" uri="{C3380CC4-5D6E-409C-BE32-E72D297353CC}">
              <c16:uniqueId val="{00000009-4F81-480E-B03C-FA08713CA730}"/>
            </c:ext>
          </c:extLst>
        </c:ser>
        <c:ser>
          <c:idx val="1"/>
          <c:order val="1"/>
          <c:tx>
            <c:strRef>
              <c:f>'4'!$C$6:$C$7</c:f>
              <c:strCache>
                <c:ptCount val="1"/>
                <c:pt idx="0">
                  <c:v>معدل الزواج الخام Crude Marriages Rate</c:v>
                </c:pt>
              </c:strCache>
            </c:strRef>
          </c:tx>
          <c:spPr>
            <a:ln w="41275">
              <a:solidFill>
                <a:schemeClr val="accent5">
                  <a:lumMod val="60000"/>
                  <a:lumOff val="40000"/>
                </a:schemeClr>
              </a:solidFill>
            </a:ln>
          </c:spPr>
          <c:marker>
            <c:spPr>
              <a:solidFill>
                <a:schemeClr val="tx2">
                  <a:lumMod val="40000"/>
                  <a:lumOff val="60000"/>
                </a:schemeClr>
              </a:solidFill>
              <a:ln>
                <a:solidFill>
                  <a:schemeClr val="accent5">
                    <a:lumMod val="60000"/>
                    <a:lumOff val="40000"/>
                  </a:schemeClr>
                </a:solidFill>
              </a:ln>
              <a:scene3d>
                <a:camera prst="orthographicFront"/>
                <a:lightRig rig="threePt" dir="t">
                  <a:rot lat="0" lon="0" rev="1200000"/>
                </a:lightRig>
              </a:scene3d>
              <a:sp3d/>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F81-480E-B03C-FA08713CA730}"/>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F81-480E-B03C-FA08713CA730}"/>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F81-480E-B03C-FA08713CA730}"/>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F81-480E-B03C-FA08713CA730}"/>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F81-480E-B03C-FA08713CA730}"/>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F81-480E-B03C-FA08713CA730}"/>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F81-480E-B03C-FA08713CA730}"/>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F81-480E-B03C-FA08713CA730}"/>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'4'!$F$8:$F$17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'4'!$C$8:$C$17</c:f>
              <c:numCache>
                <c:formatCode>0.0</c:formatCode>
                <c:ptCount val="10"/>
                <c:pt idx="0">
                  <c:v>1.7</c:v>
                </c:pt>
                <c:pt idx="1">
                  <c:v>1.9</c:v>
                </c:pt>
                <c:pt idx="2">
                  <c:v>1.9</c:v>
                </c:pt>
                <c:pt idx="3">
                  <c:v>1.8</c:v>
                </c:pt>
                <c:pt idx="4">
                  <c:v>1.7</c:v>
                </c:pt>
                <c:pt idx="5">
                  <c:v>1.5276131250025637</c:v>
                </c:pt>
                <c:pt idx="6">
                  <c:v>1.4631533667426386</c:v>
                </c:pt>
                <c:pt idx="7">
                  <c:v>1.3646009734985536</c:v>
                </c:pt>
                <c:pt idx="8">
                  <c:v>1.3615103417543122</c:v>
                </c:pt>
                <c:pt idx="9">
                  <c:v>1.2935829568569901</c:v>
                </c:pt>
              </c:numCache>
            </c:numRef>
          </c:val>
          <c:smooth val="0"/>
          <c:extLst xmlns:c16r2="http://schemas.microsoft.com/office/drawing/2015/06/chart">
            <c:ext xmlns:c16="http://schemas.microsoft.com/office/drawing/2014/chart" uri="{C3380CC4-5D6E-409C-BE32-E72D297353CC}">
              <c16:uniqueId val="{00000012-4F81-480E-B03C-FA08713CA730}"/>
            </c:ext>
          </c:extLst>
        </c:ser>
        <c:dLbls>
          <c:showLegendKey val="0"/>
          <c:showVal val="1"/>
          <c:showCatName val="0"/>
          <c:showSerName val="0"/>
          <c:showPercent val="0"/>
          <c:showBubbleSize val="0"/>
        </c:dLbls>
        <c:marker val="1"/>
        <c:smooth val="0"/>
        <c:axId val="136803840"/>
        <c:axId val="136805376"/>
      </c:lineChart>
      <c:catAx>
        <c:axId val="136803840"/>
        <c:scaling>
          <c:orientation val="minMax"/>
        </c:scaling>
        <c:delete val="0"/>
        <c:axPos val="b"/>
        <c:majorGridlines>
          <c:spPr>
            <a:ln w="3175">
              <a:solidFill>
                <a:schemeClr val="bg1">
                  <a:lumMod val="85000"/>
                </a:schemeClr>
              </a:solidFill>
              <a:prstDash val="sysDot"/>
            </a:ln>
          </c:spPr>
        </c:majorGridlines>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36805376"/>
        <c:crosses val="autoZero"/>
        <c:auto val="1"/>
        <c:lblAlgn val="ctr"/>
        <c:lblOffset val="100"/>
        <c:tickLblSkip val="1"/>
        <c:tickMarkSkip val="1"/>
        <c:noMultiLvlLbl val="0"/>
      </c:catAx>
      <c:valAx>
        <c:axId val="136805376"/>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المعدل</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Rate</a:t>
                </a:r>
              </a:p>
            </c:rich>
          </c:tx>
          <c:layout>
            <c:manualLayout>
              <c:xMode val="edge"/>
              <c:yMode val="edge"/>
              <c:x val="1.891906889524593E-2"/>
              <c:y val="7.2173178352705911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36803840"/>
        <c:crosses val="autoZero"/>
        <c:crossBetween val="between"/>
        <c:majorUnit val="1"/>
      </c:valAx>
    </c:plotArea>
    <c:legend>
      <c:legendPos val="r"/>
      <c:layout>
        <c:manualLayout>
          <c:xMode val="edge"/>
          <c:yMode val="edge"/>
          <c:x val="0.57360555932938517"/>
          <c:y val="0.20082989626296713"/>
          <c:w val="0.39292544082051173"/>
          <c:h val="0.14188866391701038"/>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 الــزواج العام</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GENERAL RATE</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2010 - 2019</a:t>
            </a:r>
          </a:p>
        </c:rich>
      </c:tx>
      <c:layout>
        <c:manualLayout>
          <c:xMode val="edge"/>
          <c:yMode val="edge"/>
          <c:x val="0.37823988103182032"/>
          <c:y val="1.3295696528499558E-2"/>
        </c:manualLayout>
      </c:layout>
      <c:overlay val="0"/>
      <c:spPr>
        <a:noFill/>
        <a:ln w="25400">
          <a:noFill/>
        </a:ln>
      </c:spPr>
    </c:title>
    <c:autoTitleDeleted val="0"/>
    <c:plotArea>
      <c:layout>
        <c:manualLayout>
          <c:layoutTarget val="inner"/>
          <c:xMode val="edge"/>
          <c:yMode val="edge"/>
          <c:x val="9.2697438243948327E-2"/>
          <c:y val="0.19531679294805129"/>
          <c:w val="0.90444198712449064"/>
          <c:h val="0.7190658148863468"/>
        </c:manualLayout>
      </c:layout>
      <c:lineChart>
        <c:grouping val="standard"/>
        <c:varyColors val="0"/>
        <c:ser>
          <c:idx val="1"/>
          <c:order val="0"/>
          <c:tx>
            <c:strRef>
              <c:f>'5'!$L$7:$M$7</c:f>
              <c:strCache>
                <c:ptCount val="1"/>
                <c:pt idx="0">
                  <c:v>الإناث Females</c:v>
                </c:pt>
              </c:strCache>
            </c:strRef>
          </c:tx>
          <c:marker>
            <c:spPr>
              <a:solidFill>
                <a:srgbClr val="C00000"/>
              </a:solidFill>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20-4BE4-8E28-D0280F32A25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20-4BE4-8E28-D0280F32A25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20-4BE4-8E28-D0280F32A25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20-4BE4-8E28-D0280F32A25D}"/>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220-4BE4-8E28-D0280F32A25D}"/>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20-4BE4-8E28-D0280F32A25D}"/>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20-4BE4-8E28-D0280F32A25D}"/>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20-4BE4-8E28-D0280F32A25D}"/>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'5'!$N$9:$N$18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'5'!$M$9:$M$18</c:f>
              <c:numCache>
                <c:formatCode>0.0</c:formatCode>
                <c:ptCount val="10"/>
                <c:pt idx="0">
                  <c:v>9.5</c:v>
                </c:pt>
                <c:pt idx="1">
                  <c:v>10.3</c:v>
                </c:pt>
                <c:pt idx="2">
                  <c:v>10.3</c:v>
                </c:pt>
                <c:pt idx="3">
                  <c:v>9.5</c:v>
                </c:pt>
                <c:pt idx="4">
                  <c:v>9.0270048476539362</c:v>
                </c:pt>
                <c:pt idx="5">
                  <c:v>8.4345650696175323</c:v>
                </c:pt>
                <c:pt idx="6">
                  <c:v>8.2038671701799064</c:v>
                </c:pt>
                <c:pt idx="7">
                  <c:v>7.5201352734392382</c:v>
                </c:pt>
                <c:pt idx="8">
                  <c:v>7.2</c:v>
                </c:pt>
                <c:pt idx="9">
                  <c:v>6.7099791714537735</c:v>
                </c:pt>
              </c:numCache>
            </c:numRef>
          </c:val>
          <c:smooth val="0"/>
          <c:extLst xmlns:c16r2="http://schemas.microsoft.com/office/drawing/2015/06/chart">
            <c:ext xmlns:c16="http://schemas.microsoft.com/office/drawing/2014/chart" uri="{C3380CC4-5D6E-409C-BE32-E72D297353CC}">
              <c16:uniqueId val="{00000008-4220-4BE4-8E28-D0280F32A25D}"/>
            </c:ext>
          </c:extLst>
        </c:ser>
        <c:ser>
          <c:idx val="0"/>
          <c:order val="1"/>
          <c:tx>
            <c:strRef>
              <c:f>'5'!$J$7:$K$7</c:f>
              <c:strCache>
                <c:ptCount val="1"/>
                <c:pt idx="0">
                  <c:v>الذكور Males</c:v>
                </c:pt>
              </c:strCache>
            </c:strRef>
          </c:tx>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220-4BE4-8E28-D0280F32A25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220-4BE4-8E28-D0280F32A25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220-4BE4-8E28-D0280F32A25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220-4BE4-8E28-D0280F32A25D}"/>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220-4BE4-8E28-D0280F32A25D}"/>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220-4BE4-8E28-D0280F32A25D}"/>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220-4BE4-8E28-D0280F32A25D}"/>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220-4BE4-8E28-D0280F32A25D}"/>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'5'!$N$9:$N$18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'5'!$K$9:$K$18</c:f>
              <c:numCache>
                <c:formatCode>0.0</c:formatCode>
                <c:ptCount val="10"/>
                <c:pt idx="0">
                  <c:v>2.5</c:v>
                </c:pt>
                <c:pt idx="1">
                  <c:v>2.8</c:v>
                </c:pt>
                <c:pt idx="2">
                  <c:v>2.9</c:v>
                </c:pt>
                <c:pt idx="3">
                  <c:v>2.7</c:v>
                </c:pt>
                <c:pt idx="4">
                  <c:v>2.4706800086077036</c:v>
                </c:pt>
                <c:pt idx="5">
                  <c:v>2.232762491988376</c:v>
                </c:pt>
                <c:pt idx="6">
                  <c:v>2.1362348943651366</c:v>
                </c:pt>
                <c:pt idx="7">
                  <c:v>2.0012487620031862</c:v>
                </c:pt>
                <c:pt idx="8">
                  <c:v>2</c:v>
                </c:pt>
                <c:pt idx="9">
                  <c:v>1.9455995116926716</c:v>
                </c:pt>
              </c:numCache>
            </c:numRef>
          </c:val>
          <c:smooth val="0"/>
          <c:extLst xmlns:c16r2="http://schemas.microsoft.com/office/drawing/2015/06/chart">
            <c:ext xmlns:c16="http://schemas.microsoft.com/office/drawing/2014/chart" uri="{C3380CC4-5D6E-409C-BE32-E72D297353CC}">
              <c16:uniqueId val="{00000011-4220-4BE4-8E28-D0280F32A25D}"/>
            </c:ext>
          </c:extLst>
        </c:ser>
        <c:dLbls>
          <c:showLegendKey val="0"/>
          <c:showVal val="1"/>
          <c:showCatName val="0"/>
          <c:showSerName val="0"/>
          <c:showPercent val="0"/>
          <c:showBubbleSize val="0"/>
        </c:dLbls>
        <c:marker val="1"/>
        <c:smooth val="0"/>
        <c:axId val="137217920"/>
        <c:axId val="137219456"/>
      </c:lineChart>
      <c:catAx>
        <c:axId val="137217920"/>
        <c:scaling>
          <c:orientation val="minMax"/>
        </c:scaling>
        <c:delete val="0"/>
        <c:axPos val="b"/>
        <c:majorGridlines>
          <c:spPr>
            <a:ln w="3175">
              <a:solidFill>
                <a:sysClr val="window" lastClr="FFFFFF">
                  <a:lumMod val="85000"/>
                </a:sysClr>
              </a:solidFill>
              <a:prstDash val="sysDot"/>
            </a:ln>
          </c:spPr>
        </c:majorGridlines>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37219456"/>
        <c:crosses val="autoZero"/>
        <c:auto val="1"/>
        <c:lblAlgn val="ctr"/>
        <c:lblOffset val="100"/>
        <c:tickLblSkip val="1"/>
        <c:tickMarkSkip val="1"/>
        <c:noMultiLvlLbl val="0"/>
      </c:catAx>
      <c:valAx>
        <c:axId val="137219456"/>
        <c:scaling>
          <c:orientation val="minMax"/>
        </c:scaling>
        <c:delete val="0"/>
        <c:axPos val="l"/>
        <c:majorGridlines>
          <c:spPr>
            <a:ln w="3175">
              <a:solidFill>
                <a:schemeClr val="bg1">
                  <a:lumMod val="85000"/>
                </a:schemeClr>
              </a:solidFill>
            </a:ln>
          </c:spPr>
        </c:majorGridlines>
        <c:title>
          <c:tx>
            <c:rich>
              <a:bodyPr rot="0" vert="horz"/>
              <a:lstStyle/>
              <a:p>
                <a:pPr algn="ctr">
                  <a:defRPr sz="1000" b="1" i="0" u="none" strike="noStrike" baseline="0">
                    <a:solidFill>
                      <a:schemeClr val="tx2"/>
                    </a:solidFill>
                    <a:latin typeface="Calibri"/>
                    <a:ea typeface="Calibri"/>
                    <a:cs typeface="Calibri"/>
                  </a:defRPr>
                </a:pPr>
                <a:r>
                  <a:rPr lang="ar-QA" sz="1000" b="1" i="0" u="none" strike="noStrike" baseline="0">
                    <a:solidFill>
                      <a:schemeClr val="tx2"/>
                    </a:solidFill>
                    <a:latin typeface="Arial"/>
                    <a:cs typeface="Arial"/>
                  </a:rPr>
                  <a:t>المعدل</a:t>
                </a:r>
              </a:p>
              <a:p>
                <a:pPr algn="ctr">
                  <a:defRPr sz="1000" b="1"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Rate</a:t>
                </a:r>
              </a:p>
            </c:rich>
          </c:tx>
          <c:layout>
            <c:manualLayout>
              <c:xMode val="edge"/>
              <c:yMode val="edge"/>
              <c:x val="3.2423913112555852E-2"/>
              <c:y val="8.9631654533749314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37217920"/>
        <c:crosses val="autoZero"/>
        <c:crossBetween val="between"/>
      </c:valAx>
      <c:spPr>
        <a:noFill/>
        <a:ln w="25400">
          <a:noFill/>
        </a:ln>
      </c:spPr>
    </c:plotArea>
    <c:legend>
      <c:legendPos val="r"/>
      <c:layout>
        <c:manualLayout>
          <c:xMode val="edge"/>
          <c:yMode val="edge"/>
          <c:x val="0.46407389754246819"/>
          <c:y val="0.19491705046303173"/>
          <c:w val="0.46759477099260899"/>
          <c:h val="6.1765562323577466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66" l="0.70000000000000062" r="0.70000000000000062" t="0.75000000000001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المسجلة حسب جنسية 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NATIONALITY OF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28377132138879668"/>
          <c:y val="1.8203974503187236E-3"/>
        </c:manualLayout>
      </c:layout>
      <c:overlay val="0"/>
      <c:spPr>
        <a:noFill/>
        <a:ln w="25400">
          <a:noFill/>
        </a:ln>
      </c:spPr>
    </c:title>
    <c:autoTitleDeleted val="0"/>
    <c:plotArea>
      <c:layout>
        <c:manualLayout>
          <c:layoutTarget val="inner"/>
          <c:xMode val="edge"/>
          <c:yMode val="edge"/>
          <c:x val="0.27059820376051008"/>
          <c:y val="0.23683997833604134"/>
          <c:w val="0.44495639657946662"/>
          <c:h val="0.71157709452985063"/>
        </c:manualLayout>
      </c:layout>
      <c:pieChart>
        <c:varyColors val="1"/>
        <c:ser>
          <c:idx val="0"/>
          <c:order val="0"/>
          <c:spPr>
            <a:scene3d>
              <a:camera prst="orthographicFront"/>
              <a:lightRig rig="threePt" dir="t"/>
            </a:scene3d>
            <a:sp3d>
              <a:contourClr>
                <a:srgbClr val="000000"/>
              </a:contourClr>
            </a:sp3d>
          </c:spPr>
          <c:dPt>
            <c:idx val="0"/>
            <c:bubble3D val="0"/>
            <c:spPr>
              <a:solidFill>
                <a:srgbClr val="993366"/>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1-7A8C-4E05-8EEE-D43BC5A59288}"/>
              </c:ext>
            </c:extLst>
          </c:dPt>
          <c:dPt>
            <c:idx val="1"/>
            <c:bubble3D val="0"/>
            <c:spPr>
              <a:solidFill>
                <a:schemeClr val="tx2">
                  <a:lumMod val="20000"/>
                  <a:lumOff val="80000"/>
                </a:schemeClr>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3-7A8C-4E05-8EEE-D43BC5A59288}"/>
              </c:ext>
            </c:extLst>
          </c:dPt>
          <c:dPt>
            <c:idx val="4"/>
            <c:bubble3D val="0"/>
            <c:spPr>
              <a:solidFill>
                <a:srgbClr val="FFFF00"/>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5-7A8C-4E05-8EEE-D43BC5A59288}"/>
              </c:ext>
            </c:extLst>
          </c:dPt>
          <c:dPt>
            <c:idx val="5"/>
            <c:bubble3D val="0"/>
            <c:spPr>
              <a:solidFill>
                <a:schemeClr val="accent6"/>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7-7A8C-4E05-8EEE-D43BC5A59288}"/>
              </c:ext>
            </c:extLst>
          </c:dPt>
          <c:dLbls>
            <c:dLbl>
              <c:idx val="0"/>
              <c:layout>
                <c:manualLayout>
                  <c:x val="0.13891131474570734"/>
                  <c:y val="-0.12735220597425317"/>
                </c:manualLayout>
              </c:layout>
              <c:numFmt formatCode="0.0%" sourceLinked="0"/>
              <c:spPr>
                <a:noFill/>
                <a:ln w="25400">
                  <a:noFill/>
                </a:ln>
              </c:spPr>
              <c:txPr>
                <a:bodyPr/>
                <a:lstStyle/>
                <a:p>
                  <a:pPr>
                    <a:defRPr sz="1000" b="1" i="0" u="none" strike="noStrike" baseline="0">
                      <a:solidFill>
                        <a:srgbClr val="FFFFFF"/>
                      </a:solidFill>
                      <a:latin typeface="Arial"/>
                      <a:ea typeface="Arial"/>
                      <a:cs typeface="Arial"/>
                    </a:defRPr>
                  </a:pPr>
                  <a:endParaRPr lang="en-US"/>
                </a:p>
              </c:txPr>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A8C-4E05-8EEE-D43BC5A59288}"/>
                </c:ext>
              </c:extLst>
            </c:dLbl>
            <c:dLbl>
              <c:idx val="1"/>
              <c:layout>
                <c:manualLayout>
                  <c:x val="-8.2816409735383567E-2"/>
                  <c:y val="1.90040828229804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A8C-4E05-8EEE-D43BC5A59288}"/>
                </c:ext>
              </c:extLst>
            </c:dLbl>
            <c:dLbl>
              <c:idx val="2"/>
              <c:layout>
                <c:manualLayout>
                  <c:x val="1.3188487915437477E-3"/>
                  <c:y val="1.146752489272181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A8C-4E05-8EEE-D43BC5A59288}"/>
                </c:ext>
              </c:extLst>
            </c:dLbl>
            <c:dLbl>
              <c:idx val="3"/>
              <c:layout>
                <c:manualLayout>
                  <c:x val="1.2742749588063281E-2"/>
                  <c:y val="-6.8645377661125689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A8C-4E05-8EEE-D43BC5A59288}"/>
                </c:ext>
              </c:extLst>
            </c:dLbl>
            <c:dLbl>
              <c:idx val="4"/>
              <c:layout>
                <c:manualLayout>
                  <c:x val="3.8458282044769219E-2"/>
                  <c:y val="-6.024080323292920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A8C-4E05-8EEE-D43BC5A59288}"/>
                </c:ext>
              </c:extLst>
            </c:dLbl>
            <c:dLbl>
              <c:idx val="5"/>
              <c:layout>
                <c:manualLayout>
                  <c:x val="-4.8582481780348588E-2"/>
                  <c:y val="3.197537807774059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A8C-4E05-8EEE-D43BC5A59288}"/>
                </c:ext>
              </c:extLst>
            </c:dLbl>
            <c:numFmt formatCode="0.0%" sourceLinked="0"/>
            <c:spPr>
              <a:noFill/>
              <a:ln w="25400">
                <a:noFill/>
              </a:ln>
            </c:spPr>
            <c:txPr>
              <a:bodyPr/>
              <a:lstStyle/>
              <a:p>
                <a:pPr>
                  <a:defRPr sz="1000" b="1"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'8'!$A$20:$A$25</c:f>
              <c:strCache>
                <c:ptCount val="6"/>
                <c:pt idx="0">
                  <c:v>قطر
Qatar</c:v>
                </c:pt>
                <c:pt idx="1">
                  <c:v>بقية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'8'!$I$8:$I$13</c:f>
              <c:numCache>
                <c:formatCode>0.0</c:formatCode>
                <c:ptCount val="6"/>
                <c:pt idx="0">
                  <c:v>57.359845346589346</c:v>
                </c:pt>
                <c:pt idx="1">
                  <c:v>3.175918254625794</c:v>
                </c:pt>
                <c:pt idx="2">
                  <c:v>25.490196078431371</c:v>
                </c:pt>
                <c:pt idx="3">
                  <c:v>11.074288870477769</c:v>
                </c:pt>
                <c:pt idx="4">
                  <c:v>1.0218171775752554</c:v>
                </c:pt>
                <c:pt idx="5">
                  <c:v>1.8779342723004695</c:v>
                </c:pt>
              </c:numCache>
            </c:numRef>
          </c:val>
          <c:extLst xmlns:c16r2="http://schemas.microsoft.com/office/drawing/2015/06/chart">
            <c:ext xmlns:c16="http://schemas.microsoft.com/office/drawing/2014/chart" uri="{C3380CC4-5D6E-409C-BE32-E72D297353CC}">
              <c16:uniqueId val="{0000000A-7A8C-4E05-8EEE-D43BC5A59288}"/>
            </c:ext>
          </c:extLst>
        </c:ser>
        <c:dLbls>
          <c:showLegendKey val="0"/>
          <c:showVal val="0"/>
          <c:showCatName val="1"/>
          <c:showSerName val="0"/>
          <c:showPercent val="1"/>
          <c:showBubbleSize val="0"/>
          <c:showLeaderLines val="1"/>
        </c:dLbls>
        <c:firstSliceAng val="131"/>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المسجلة حسب الحالة التعليمية للزوجة والزوج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EDUCATIONAL STATUS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21681938062826953"/>
          <c:y val="1.5811419798940247E-2"/>
        </c:manualLayout>
      </c:layout>
      <c:overlay val="0"/>
      <c:spPr>
        <a:noFill/>
        <a:ln w="25400">
          <a:noFill/>
        </a:ln>
      </c:spPr>
    </c:title>
    <c:autoTitleDeleted val="0"/>
    <c:plotArea>
      <c:layout>
        <c:manualLayout>
          <c:layoutTarget val="inner"/>
          <c:xMode val="edge"/>
          <c:yMode val="edge"/>
          <c:x val="6.7886726023653823E-2"/>
          <c:y val="0.24059981181597584"/>
          <c:w val="0.93211327397634614"/>
          <c:h val="0.58070103501213288"/>
        </c:manualLayout>
      </c:layout>
      <c:barChart>
        <c:barDir val="col"/>
        <c:grouping val="clustered"/>
        <c:varyColors val="0"/>
        <c:ser>
          <c:idx val="0"/>
          <c:order val="0"/>
          <c:tx>
            <c:strRef>
              <c:f>'16-3'!$B$25</c:f>
              <c:strCache>
                <c:ptCount val="1"/>
                <c:pt idx="0">
                  <c:v>الزوج Husband</c:v>
                </c:pt>
              </c:strCache>
            </c:strRef>
          </c:tx>
          <c:spPr>
            <a:solidFill>
              <a:schemeClr val="accent1"/>
            </a:solidFill>
            <a:scene3d>
              <a:camera prst="orthographicFront"/>
              <a:lightRig rig="threePt" dir="t"/>
            </a:scene3d>
            <a:sp3d/>
          </c:spPr>
          <c:invertIfNegative val="0"/>
          <c:dLbls>
            <c:dLbl>
              <c:idx val="4"/>
              <c:layout>
                <c:manualLayout>
                  <c:x val="-4.8426150121065378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095-4E6D-868A-A3512FC9C268}"/>
                </c:ext>
              </c:extLst>
            </c:dLbl>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'16-3'!$A$26:$A$33</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'16-3'!$B$26:$B$33</c:f>
              <c:numCache>
                <c:formatCode>#,##0</c:formatCode>
                <c:ptCount val="8"/>
                <c:pt idx="0">
                  <c:v>3</c:v>
                </c:pt>
                <c:pt idx="1">
                  <c:v>15</c:v>
                </c:pt>
                <c:pt idx="2">
                  <c:v>132</c:v>
                </c:pt>
                <c:pt idx="3">
                  <c:v>342</c:v>
                </c:pt>
                <c:pt idx="4">
                  <c:v>1325</c:v>
                </c:pt>
                <c:pt idx="5">
                  <c:v>133</c:v>
                </c:pt>
                <c:pt idx="6">
                  <c:v>1664</c:v>
                </c:pt>
                <c:pt idx="7">
                  <c:v>7</c:v>
                </c:pt>
              </c:numCache>
            </c:numRef>
          </c:val>
          <c:extLst xmlns:c16r2="http://schemas.microsoft.com/office/drawing/2015/06/chart">
            <c:ext xmlns:c16="http://schemas.microsoft.com/office/drawing/2014/chart" uri="{C3380CC4-5D6E-409C-BE32-E72D297353CC}">
              <c16:uniqueId val="{00000001-3095-4E6D-868A-A3512FC9C268}"/>
            </c:ext>
          </c:extLst>
        </c:ser>
        <c:ser>
          <c:idx val="1"/>
          <c:order val="1"/>
          <c:tx>
            <c:strRef>
              <c:f>'16-3'!$C$25</c:f>
              <c:strCache>
                <c:ptCount val="1"/>
                <c:pt idx="0">
                  <c:v>الزوجة Wife</c:v>
                </c:pt>
              </c:strCache>
            </c:strRef>
          </c:tx>
          <c:spPr>
            <a:solidFill>
              <a:schemeClr val="accent2"/>
            </a:solidFill>
            <a:scene3d>
              <a:camera prst="orthographicFront"/>
              <a:lightRig rig="threePt" dir="t"/>
            </a:scene3d>
            <a:sp3d/>
          </c:spPr>
          <c:invertIfNegative val="0"/>
          <c:dLbls>
            <c:dLbl>
              <c:idx val="4"/>
              <c:layout>
                <c:manualLayout>
                  <c:x val="0"/>
                  <c:y val="-5.0314465408805029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095-4E6D-868A-A3512FC9C268}"/>
                </c:ext>
              </c:extLst>
            </c:dLbl>
            <c:dLbl>
              <c:idx val="6"/>
              <c:layout>
                <c:manualLayout>
                  <c:x val="4.8426150121064189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095-4E6D-868A-A3512FC9C268}"/>
                </c:ext>
              </c:extLst>
            </c:dLbl>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'16-3'!$A$26:$A$33</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'16-3'!$C$26:$C$33</c:f>
              <c:numCache>
                <c:formatCode>General</c:formatCode>
                <c:ptCount val="8"/>
                <c:pt idx="0">
                  <c:v>15</c:v>
                </c:pt>
                <c:pt idx="1">
                  <c:v>25</c:v>
                </c:pt>
                <c:pt idx="2">
                  <c:v>121</c:v>
                </c:pt>
                <c:pt idx="3">
                  <c:v>294</c:v>
                </c:pt>
                <c:pt idx="4">
                  <c:v>1719</c:v>
                </c:pt>
                <c:pt idx="5">
                  <c:v>78</c:v>
                </c:pt>
                <c:pt idx="6">
                  <c:v>1361</c:v>
                </c:pt>
                <c:pt idx="7">
                  <c:v>8</c:v>
                </c:pt>
              </c:numCache>
            </c:numRef>
          </c:val>
          <c:extLst xmlns:c16r2="http://schemas.microsoft.com/office/drawing/2015/06/chart">
            <c:ext xmlns:c16="http://schemas.microsoft.com/office/drawing/2014/chart" uri="{C3380CC4-5D6E-409C-BE32-E72D297353CC}">
              <c16:uniqueId val="{00000004-3095-4E6D-868A-A3512FC9C268}"/>
            </c:ext>
          </c:extLst>
        </c:ser>
        <c:dLbls>
          <c:showLegendKey val="0"/>
          <c:showVal val="1"/>
          <c:showCatName val="0"/>
          <c:showSerName val="0"/>
          <c:showPercent val="0"/>
          <c:showBubbleSize val="0"/>
        </c:dLbls>
        <c:gapWidth val="150"/>
        <c:axId val="143983360"/>
        <c:axId val="143985280"/>
      </c:barChart>
      <c:catAx>
        <c:axId val="143983360"/>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الحالة التعلمية</a:t>
                </a:r>
              </a:p>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 </a:t>
                </a:r>
                <a:r>
                  <a:rPr lang="en-US" sz="1200" b="1" i="0" u="none" strike="noStrike" baseline="0">
                    <a:solidFill>
                      <a:schemeClr val="accent1"/>
                    </a:solidFill>
                    <a:latin typeface="Arial"/>
                    <a:cs typeface="Arial"/>
                  </a:rPr>
                  <a:t>Educational Status</a:t>
                </a:r>
              </a:p>
            </c:rich>
          </c:tx>
          <c:layout>
            <c:manualLayout>
              <c:xMode val="edge"/>
              <c:yMode val="edge"/>
              <c:x val="0.44580605390427885"/>
              <c:y val="0.91753815678700534"/>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chemeClr val="tx1"/>
                </a:solidFill>
                <a:latin typeface="Arial"/>
                <a:ea typeface="Arial"/>
                <a:cs typeface="Arial"/>
              </a:defRPr>
            </a:pPr>
            <a:endParaRPr lang="en-US"/>
          </a:p>
        </c:txPr>
        <c:crossAx val="143985280"/>
        <c:crosses val="autoZero"/>
        <c:auto val="1"/>
        <c:lblAlgn val="ctr"/>
        <c:lblOffset val="100"/>
        <c:tickLblSkip val="1"/>
        <c:tickMarkSkip val="1"/>
        <c:noMultiLvlLbl val="0"/>
      </c:catAx>
      <c:valAx>
        <c:axId val="143985280"/>
        <c:scaling>
          <c:orientation val="minMax"/>
        </c:scaling>
        <c:delete val="0"/>
        <c:axPos val="l"/>
        <c:majorGridlines>
          <c:spPr>
            <a:ln w="3175">
              <a:solidFill>
                <a:schemeClr val="bg1">
                  <a:lumMod val="85000"/>
                </a:schemeClr>
              </a:solidFill>
            </a:ln>
          </c:spPr>
        </c:majorGridlines>
        <c:title>
          <c:tx>
            <c:rich>
              <a:bodyPr rot="0" vert="horz"/>
              <a:lstStyle/>
              <a:p>
                <a:pPr>
                  <a:defRPr/>
                </a:pPr>
                <a:r>
                  <a:rPr lang="ar-QA" b="1">
                    <a:solidFill>
                      <a:schemeClr val="tx2"/>
                    </a:solidFill>
                  </a:rPr>
                  <a:t>العدد</a:t>
                </a:r>
              </a:p>
              <a:p>
                <a:pPr>
                  <a:defRPr/>
                </a:pPr>
                <a:r>
                  <a:rPr lang="en-US" b="1">
                    <a:solidFill>
                      <a:schemeClr val="tx2"/>
                    </a:solidFill>
                  </a:rPr>
                  <a:t>Number</a:t>
                </a:r>
              </a:p>
            </c:rich>
          </c:tx>
          <c:layout>
            <c:manualLayout>
              <c:xMode val="edge"/>
              <c:yMode val="edge"/>
              <c:x val="1.9370460048426151E-2"/>
              <c:y val="0.15584965086911309"/>
            </c:manualLayout>
          </c:layout>
          <c:overlay val="0"/>
        </c:title>
        <c:numFmt formatCode="#,##0" sourceLinked="0"/>
        <c:majorTickMark val="out"/>
        <c:minorTickMark val="none"/>
        <c:tickLblPos val="nextTo"/>
        <c:txPr>
          <a:bodyPr/>
          <a:lstStyle/>
          <a:p>
            <a:pPr>
              <a:defRPr b="1">
                <a:solidFill>
                  <a:sysClr val="windowText" lastClr="000000"/>
                </a:solidFill>
                <a:latin typeface="Arial" pitchFamily="34" charset="0"/>
                <a:cs typeface="Arial" pitchFamily="34" charset="0"/>
              </a:defRPr>
            </a:pPr>
            <a:endParaRPr lang="en-US"/>
          </a:p>
        </c:txPr>
        <c:crossAx val="143983360"/>
        <c:crosses val="autoZero"/>
        <c:crossBetween val="between"/>
      </c:valAx>
      <c:spPr>
        <a:noFill/>
        <a:ln w="25400">
          <a:noFill/>
        </a:ln>
      </c:spPr>
    </c:plotArea>
    <c:legend>
      <c:legendPos val="r"/>
      <c:layout>
        <c:manualLayout>
          <c:xMode val="edge"/>
          <c:yMode val="edge"/>
          <c:x val="0.18481643184432456"/>
          <c:y val="0.17479126429950972"/>
          <c:w val="0.35622924253112431"/>
          <c:h val="6.4281285594017731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ar-QA" sz="1400"/>
              <a:t>عقود الزواج حسب مهنة </a:t>
            </a:r>
            <a:r>
              <a:rPr lang="ar-QA" sz="1400" b="1" i="0" u="none" strike="noStrike" baseline="0">
                <a:effectLst/>
              </a:rPr>
              <a:t>الزوجة و</a:t>
            </a:r>
            <a:r>
              <a:rPr lang="ar-QA" sz="1400"/>
              <a:t>الزوج </a:t>
            </a:r>
          </a:p>
          <a:p>
            <a:pPr>
              <a:defRPr sz="1200"/>
            </a:pPr>
            <a:r>
              <a:rPr lang="en-US" sz="1200"/>
              <a:t>MARRIAGES BY WIFE AND HUSBAND OCCUPATION</a:t>
            </a:r>
            <a:endParaRPr lang="ar-QA" sz="1200"/>
          </a:p>
          <a:p>
            <a:pPr>
              <a:defRPr sz="1200"/>
            </a:pPr>
            <a:r>
              <a:rPr lang="en-US" sz="1200"/>
              <a:t>2019</a:t>
            </a:r>
          </a:p>
        </c:rich>
      </c:tx>
      <c:overlay val="0"/>
    </c:title>
    <c:autoTitleDeleted val="0"/>
    <c:plotArea>
      <c:layout>
        <c:manualLayout>
          <c:layoutTarget val="inner"/>
          <c:xMode val="edge"/>
          <c:yMode val="edge"/>
          <c:x val="6.9130841403445262E-2"/>
          <c:y val="0.25134083350751318"/>
          <c:w val="0.92454520771110504"/>
          <c:h val="0.53968934235888222"/>
        </c:manualLayout>
      </c:layout>
      <c:barChart>
        <c:barDir val="col"/>
        <c:grouping val="clustered"/>
        <c:varyColors val="0"/>
        <c:ser>
          <c:idx val="0"/>
          <c:order val="0"/>
          <c:tx>
            <c:strRef>
              <c:f>'17-3'!$B$27</c:f>
              <c:strCache>
                <c:ptCount val="1"/>
                <c:pt idx="0">
                  <c:v>الزوج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'17-3'!$B$28:$B$35</c:f>
              <c:numCache>
                <c:formatCode>#,##0</c:formatCode>
                <c:ptCount val="8"/>
                <c:pt idx="0">
                  <c:v>1259</c:v>
                </c:pt>
                <c:pt idx="1">
                  <c:v>98</c:v>
                </c:pt>
                <c:pt idx="2">
                  <c:v>318</c:v>
                </c:pt>
                <c:pt idx="3">
                  <c:v>403</c:v>
                </c:pt>
                <c:pt idx="4">
                  <c:v>857</c:v>
                </c:pt>
                <c:pt idx="5">
                  <c:v>448</c:v>
                </c:pt>
                <c:pt idx="6">
                  <c:v>184</c:v>
                </c:pt>
                <c:pt idx="7" formatCode="General">
                  <c:v>54</c:v>
                </c:pt>
              </c:numCache>
            </c:numRef>
          </c:val>
          <c:extLst xmlns:c16r2="http://schemas.microsoft.com/office/drawing/2015/06/chart">
            <c:ext xmlns:c16="http://schemas.microsoft.com/office/drawing/2014/chart" uri="{C3380CC4-5D6E-409C-BE32-E72D297353CC}">
              <c16:uniqueId val="{00000000-B416-45BC-8B0C-FE59A4241E6D}"/>
            </c:ext>
          </c:extLst>
        </c:ser>
        <c:ser>
          <c:idx val="1"/>
          <c:order val="1"/>
          <c:tx>
            <c:strRef>
              <c:f>'17-3'!$C$27</c:f>
              <c:strCache>
                <c:ptCount val="1"/>
                <c:pt idx="0">
                  <c:v>الزوجة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'17-3'!$C$28:$C$35</c:f>
              <c:numCache>
                <c:formatCode>#,##0</c:formatCode>
                <c:ptCount val="8"/>
                <c:pt idx="0">
                  <c:v>500</c:v>
                </c:pt>
                <c:pt idx="1">
                  <c:v>28</c:v>
                </c:pt>
                <c:pt idx="2">
                  <c:v>116</c:v>
                </c:pt>
                <c:pt idx="3">
                  <c:v>339</c:v>
                </c:pt>
                <c:pt idx="4">
                  <c:v>517</c:v>
                </c:pt>
                <c:pt idx="5">
                  <c:v>18</c:v>
                </c:pt>
                <c:pt idx="6">
                  <c:v>2103</c:v>
                </c:pt>
                <c:pt idx="7" formatCode="General">
                  <c:v>0</c:v>
                </c:pt>
              </c:numCache>
            </c:numRef>
          </c:val>
          <c:extLst xmlns:c16r2="http://schemas.microsoft.com/office/drawing/2015/06/chart">
            <c:ext xmlns:c16="http://schemas.microsoft.com/office/drawing/2014/chart" uri="{C3380CC4-5D6E-409C-BE32-E72D297353CC}">
              <c16:uniqueId val="{00000001-B416-45BC-8B0C-FE59A4241E6D}"/>
            </c:ext>
          </c:extLst>
        </c:ser>
        <c:dLbls>
          <c:showLegendKey val="0"/>
          <c:showVal val="0"/>
          <c:showCatName val="0"/>
          <c:showSerName val="0"/>
          <c:showPercent val="0"/>
          <c:showBubbleSize val="0"/>
        </c:dLbls>
        <c:gapWidth val="150"/>
        <c:axId val="145521664"/>
        <c:axId val="145548032"/>
      </c:barChart>
      <c:catAx>
        <c:axId val="145521664"/>
        <c:scaling>
          <c:orientation val="minMax"/>
        </c:scaling>
        <c:delete val="0"/>
        <c:axPos val="b"/>
        <c:majorGridlines>
          <c:spPr>
            <a:ln w="3175">
              <a:solidFill>
                <a:schemeClr val="bg1">
                  <a:lumMod val="85000"/>
                </a:schemeClr>
              </a:solidFill>
            </a:ln>
          </c:spPr>
        </c:majorGridlines>
        <c:numFmt formatCode="General" sourceLinked="0"/>
        <c:majorTickMark val="out"/>
        <c:minorTickMark val="none"/>
        <c:tickLblPos val="nextTo"/>
        <c:txPr>
          <a:bodyPr/>
          <a:lstStyle/>
          <a:p>
            <a:pPr>
              <a:defRPr sz="800"/>
            </a:pPr>
            <a:endParaRPr lang="en-US"/>
          </a:p>
        </c:txPr>
        <c:crossAx val="145548032"/>
        <c:crosses val="autoZero"/>
        <c:auto val="1"/>
        <c:lblAlgn val="ctr"/>
        <c:lblOffset val="100"/>
        <c:noMultiLvlLbl val="0"/>
      </c:catAx>
      <c:valAx>
        <c:axId val="145548032"/>
        <c:scaling>
          <c:orientation val="minMax"/>
        </c:scaling>
        <c:delete val="0"/>
        <c:axPos val="l"/>
        <c:majorGridlines>
          <c:spPr>
            <a:ln w="3175">
              <a:solidFill>
                <a:schemeClr val="bg1">
                  <a:lumMod val="85000"/>
                </a:schemeClr>
              </a:solidFill>
            </a:ln>
          </c:spPr>
        </c:majorGridlines>
        <c:title>
          <c:tx>
            <c:rich>
              <a:bodyPr rot="0" vert="horz"/>
              <a:lstStyle/>
              <a:p>
                <a:pPr>
                  <a:defRPr/>
                </a:pPr>
                <a:r>
                  <a:rPr lang="ar-QA">
                    <a:solidFill>
                      <a:schemeClr val="tx2"/>
                    </a:solidFill>
                  </a:rPr>
                  <a:t>العدد</a:t>
                </a:r>
              </a:p>
              <a:p>
                <a:pPr>
                  <a:defRPr/>
                </a:pPr>
                <a:r>
                  <a:rPr lang="en-US">
                    <a:solidFill>
                      <a:schemeClr val="tx2"/>
                    </a:solidFill>
                  </a:rPr>
                  <a:t>Number</a:t>
                </a:r>
              </a:p>
            </c:rich>
          </c:tx>
          <c:layout>
            <c:manualLayout>
              <c:xMode val="edge"/>
              <c:yMode val="edge"/>
              <c:x val="1.8390804597701149E-2"/>
              <c:y val="0.16291297145181305"/>
            </c:manualLayout>
          </c:layout>
          <c:overlay val="0"/>
        </c:title>
        <c:numFmt formatCode="#,##0" sourceLinked="1"/>
        <c:majorTickMark val="out"/>
        <c:minorTickMark val="none"/>
        <c:tickLblPos val="nextTo"/>
        <c:txPr>
          <a:bodyPr/>
          <a:lstStyle/>
          <a:p>
            <a:pPr>
              <a:defRPr b="1"/>
            </a:pPr>
            <a:endParaRPr lang="en-US"/>
          </a:p>
        </c:txPr>
        <c:crossAx val="145521664"/>
        <c:crosses val="autoZero"/>
        <c:crossBetween val="between"/>
      </c:valAx>
      <c:spPr>
        <a:ln>
          <a:noFill/>
        </a:ln>
      </c:spPr>
    </c:plotArea>
    <c:legend>
      <c:legendPos val="r"/>
      <c:layout>
        <c:manualLayout>
          <c:xMode val="edge"/>
          <c:yMode val="edge"/>
          <c:x val="0.70315020967206687"/>
          <c:y val="0.17803893364773193"/>
          <c:w val="0.24627507768425499"/>
          <c:h val="6.3511300743088542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حسب عدد أبناء الزوجة وجنسية الزوج والزوجة</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Number of Wife's Children &amp; Natioanltiy of Husband &amp; Wife</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2019</a:t>
            </a:r>
          </a:p>
        </c:rich>
      </c:tx>
      <c:layout>
        <c:manualLayout>
          <c:xMode val="edge"/>
          <c:yMode val="edge"/>
          <c:x val="0.17359918102582847"/>
          <c:y val="1.9526759155106078E-2"/>
        </c:manualLayout>
      </c:layout>
      <c:overlay val="0"/>
      <c:spPr>
        <a:noFill/>
        <a:ln w="25400">
          <a:noFill/>
        </a:ln>
      </c:spPr>
    </c:title>
    <c:autoTitleDeleted val="0"/>
    <c:plotArea>
      <c:layout>
        <c:manualLayout>
          <c:layoutTarget val="inner"/>
          <c:xMode val="edge"/>
          <c:yMode val="edge"/>
          <c:x val="7.8842796824310002E-2"/>
          <c:y val="0.26653743624512688"/>
          <c:w val="0.91200691217945584"/>
          <c:h val="0.5554134500310749"/>
        </c:manualLayout>
      </c:layout>
      <c:barChart>
        <c:barDir val="col"/>
        <c:grouping val="clustered"/>
        <c:varyColors val="0"/>
        <c:ser>
          <c:idx val="0"/>
          <c:order val="0"/>
          <c:tx>
            <c:strRef>
              <c:f>'20'!$B$25</c:f>
              <c:strCache>
                <c:ptCount val="1"/>
                <c:pt idx="0">
                  <c:v>عدد الحالات
No. of cases</c:v>
                </c:pt>
              </c:strCache>
            </c:strRef>
          </c:tx>
          <c:spPr>
            <a:solidFill>
              <a:schemeClr val="accent3">
                <a:lumMod val="60000"/>
                <a:lumOff val="40000"/>
              </a:schemeClr>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'20'!$A$26:$A$29</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'20'!$B$26:$B$29</c:f>
              <c:numCache>
                <c:formatCode>#,##0</c:formatCode>
                <c:ptCount val="4"/>
                <c:pt idx="0">
                  <c:v>1852</c:v>
                </c:pt>
                <c:pt idx="1">
                  <c:v>225</c:v>
                </c:pt>
                <c:pt idx="2">
                  <c:v>120</c:v>
                </c:pt>
                <c:pt idx="3">
                  <c:v>1424</c:v>
                </c:pt>
              </c:numCache>
            </c:numRef>
          </c:val>
          <c:extLst xmlns:c16r2="http://schemas.microsoft.com/office/drawing/2015/06/chart">
            <c:ext xmlns:c16="http://schemas.microsoft.com/office/drawing/2014/chart" uri="{C3380CC4-5D6E-409C-BE32-E72D297353CC}">
              <c16:uniqueId val="{00000000-EFB8-4618-8191-C07A6C750F35}"/>
            </c:ext>
          </c:extLst>
        </c:ser>
        <c:ser>
          <c:idx val="1"/>
          <c:order val="1"/>
          <c:tx>
            <c:strRef>
              <c:f>'20'!$C$25</c:f>
              <c:strCache>
                <c:ptCount val="1"/>
                <c:pt idx="0">
                  <c:v>عدد الأبناء
No. of Children</c:v>
                </c:pt>
              </c:strCache>
            </c:strRef>
          </c:tx>
          <c:spPr>
            <a:solidFill>
              <a:schemeClr val="tx2"/>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'20'!$A$26:$A$29</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'20'!$C$26:$C$29</c:f>
              <c:numCache>
                <c:formatCode>#,##0</c:formatCode>
                <c:ptCount val="4"/>
                <c:pt idx="0">
                  <c:v>378</c:v>
                </c:pt>
                <c:pt idx="1">
                  <c:v>38</c:v>
                </c:pt>
                <c:pt idx="2">
                  <c:v>22</c:v>
                </c:pt>
                <c:pt idx="3">
                  <c:v>237</c:v>
                </c:pt>
              </c:numCache>
            </c:numRef>
          </c:val>
          <c:extLst xmlns:c16r2="http://schemas.microsoft.com/office/drawing/2015/06/chart">
            <c:ext xmlns:c16="http://schemas.microsoft.com/office/drawing/2014/chart" uri="{C3380CC4-5D6E-409C-BE32-E72D297353CC}">
              <c16:uniqueId val="{00000001-EFB8-4618-8191-C07A6C750F35}"/>
            </c:ext>
          </c:extLst>
        </c:ser>
        <c:dLbls>
          <c:showLegendKey val="0"/>
          <c:showVal val="1"/>
          <c:showCatName val="0"/>
          <c:showSerName val="0"/>
          <c:showPercent val="0"/>
          <c:showBubbleSize val="0"/>
        </c:dLbls>
        <c:gapWidth val="150"/>
        <c:axId val="145473920"/>
        <c:axId val="145475840"/>
      </c:barChart>
      <c:catAx>
        <c:axId val="145473920"/>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Arial"/>
                    <a:cs typeface="Arial"/>
                  </a:rPr>
                  <a:t>Nationality</a:t>
                </a:r>
                <a:r>
                  <a:rPr lang="en-US" sz="1200" b="1" i="0" u="none" strike="noStrike" baseline="0">
                    <a:solidFill>
                      <a:schemeClr val="accent1"/>
                    </a:solidFill>
                    <a:latin typeface="Calibri"/>
                  </a:rPr>
                  <a:t> </a:t>
                </a:r>
                <a:r>
                  <a:rPr lang="ar-QA" sz="1200" b="1" i="0" u="none" strike="noStrike" baseline="0">
                    <a:solidFill>
                      <a:schemeClr val="accent1"/>
                    </a:solidFill>
                    <a:latin typeface="Calibri"/>
                  </a:rPr>
                  <a:t>الجنسية</a:t>
                </a:r>
              </a:p>
            </c:rich>
          </c:tx>
          <c:layout>
            <c:manualLayout>
              <c:xMode val="edge"/>
              <c:yMode val="edge"/>
              <c:x val="0.45839336911562312"/>
              <c:y val="0.95394055743033512"/>
            </c:manualLayout>
          </c:layout>
          <c:overlay val="0"/>
          <c:spPr>
            <a:noFill/>
            <a:ln w="25400">
              <a:noFill/>
            </a:ln>
          </c:spPr>
        </c:title>
        <c:numFmt formatCode="General" sourceLinked="1"/>
        <c:majorTickMark val="out"/>
        <c:minorTickMark val="none"/>
        <c:tickLblPos val="nextTo"/>
        <c:txPr>
          <a:bodyPr rot="0" vert="horz"/>
          <a:lstStyle/>
          <a:p>
            <a:pPr>
              <a:defRPr sz="1100" b="0" i="0" u="none" strike="noStrike" baseline="0">
                <a:solidFill>
                  <a:sysClr val="windowText" lastClr="000000"/>
                </a:solidFill>
                <a:latin typeface="Arial"/>
                <a:ea typeface="Arial"/>
                <a:cs typeface="Arial"/>
              </a:defRPr>
            </a:pPr>
            <a:endParaRPr lang="en-US"/>
          </a:p>
        </c:txPr>
        <c:crossAx val="145475840"/>
        <c:crosses val="autoZero"/>
        <c:auto val="1"/>
        <c:lblAlgn val="ctr"/>
        <c:lblOffset val="100"/>
        <c:tickLblSkip val="1"/>
        <c:tickMarkSkip val="1"/>
        <c:noMultiLvlLbl val="0"/>
      </c:catAx>
      <c:valAx>
        <c:axId val="145475840"/>
        <c:scaling>
          <c:orientation val="minMax"/>
        </c:scaling>
        <c:delete val="0"/>
        <c:axPos val="l"/>
        <c:majorGridlines>
          <c:spPr>
            <a:ln w="3175">
              <a:solidFill>
                <a:schemeClr val="bg1">
                  <a:lumMod val="85000"/>
                </a:schemeClr>
              </a:solidFill>
            </a:ln>
          </c:spPr>
        </c:majorGridlines>
        <c:title>
          <c:tx>
            <c:rich>
              <a:bodyPr rot="0" vert="horz"/>
              <a:lstStyle/>
              <a:p>
                <a:pPr>
                  <a:defRPr sz="1000" b="1">
                    <a:solidFill>
                      <a:schemeClr val="tx2"/>
                    </a:solidFill>
                  </a:defRPr>
                </a:pPr>
                <a:r>
                  <a:rPr lang="ar-QA" sz="1000" b="1">
                    <a:solidFill>
                      <a:schemeClr val="tx2"/>
                    </a:solidFill>
                  </a:rPr>
                  <a:t>العدد</a:t>
                </a:r>
              </a:p>
              <a:p>
                <a:pPr>
                  <a:defRPr sz="1000" b="1">
                    <a:solidFill>
                      <a:schemeClr val="tx2"/>
                    </a:solidFill>
                  </a:defRPr>
                </a:pPr>
                <a:r>
                  <a:rPr lang="en-US" sz="1000" b="1">
                    <a:solidFill>
                      <a:schemeClr val="tx2"/>
                    </a:solidFill>
                  </a:rPr>
                  <a:t>Number</a:t>
                </a:r>
              </a:p>
            </c:rich>
          </c:tx>
          <c:layout>
            <c:manualLayout>
              <c:xMode val="edge"/>
              <c:yMode val="edge"/>
              <c:x val="6.6252587991718426E-3"/>
              <c:y val="0.1669381738241624"/>
            </c:manualLayout>
          </c:layout>
          <c:overlay val="0"/>
        </c:title>
        <c:numFmt formatCode="#,##0" sourceLinked="0"/>
        <c:majorTickMark val="out"/>
        <c:minorTickMark val="none"/>
        <c:tickLblPos val="nextTo"/>
        <c:txPr>
          <a:bodyPr/>
          <a:lstStyle/>
          <a:p>
            <a:pPr>
              <a:defRPr b="1">
                <a:latin typeface="Arial" pitchFamily="34" charset="0"/>
                <a:cs typeface="Arial" pitchFamily="34" charset="0"/>
              </a:defRPr>
            </a:pPr>
            <a:endParaRPr lang="en-US"/>
          </a:p>
        </c:txPr>
        <c:crossAx val="145473920"/>
        <c:crosses val="autoZero"/>
        <c:crossBetween val="between"/>
      </c:valAx>
    </c:plotArea>
    <c:legend>
      <c:legendPos val="r"/>
      <c:layout>
        <c:manualLayout>
          <c:xMode val="edge"/>
          <c:yMode val="edge"/>
          <c:x val="0.32735201538448633"/>
          <c:y val="0.17289338832646509"/>
          <c:w val="0.38559945224238273"/>
          <c:h val="8.2507152359379735E-2"/>
        </c:manualLayout>
      </c:layout>
      <c:overlay val="0"/>
      <c:spPr>
        <a:noFill/>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19685039370078738" l="0.15748031496063086" r="0.15748031496063086" t="0.5905511811023531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 الطـــلاق العام</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GENERAL RATE</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2010 - 2019</a:t>
            </a:r>
          </a:p>
        </c:rich>
      </c:tx>
      <c:layout>
        <c:manualLayout>
          <c:xMode val="edge"/>
          <c:yMode val="edge"/>
          <c:x val="0.37823988103182032"/>
          <c:y val="1.3295696528499558E-2"/>
        </c:manualLayout>
      </c:layout>
      <c:overlay val="0"/>
      <c:spPr>
        <a:noFill/>
        <a:ln w="25400">
          <a:noFill/>
        </a:ln>
      </c:spPr>
    </c:title>
    <c:autoTitleDeleted val="0"/>
    <c:plotArea>
      <c:layout>
        <c:manualLayout>
          <c:layoutTarget val="inner"/>
          <c:xMode val="edge"/>
          <c:yMode val="edge"/>
          <c:x val="6.6870158179379247E-2"/>
          <c:y val="0.15758102393397766"/>
          <c:w val="0.90928460213660001"/>
          <c:h val="0.72661298469766356"/>
        </c:manualLayout>
      </c:layout>
      <c:lineChart>
        <c:grouping val="standard"/>
        <c:varyColors val="0"/>
        <c:ser>
          <c:idx val="1"/>
          <c:order val="0"/>
          <c:tx>
            <c:strRef>
              <c:f>'21'!$L$7:$M$7</c:f>
              <c:strCache>
                <c:ptCount val="1"/>
                <c:pt idx="0">
                  <c:v>الإناث Females</c:v>
                </c:pt>
              </c:strCache>
            </c:strRef>
          </c:tx>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5DB-43E0-9538-E3A7D31E5B51}"/>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5DB-43E0-9538-E3A7D31E5B51}"/>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5DB-43E0-9538-E3A7D31E5B51}"/>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5DB-43E0-9538-E3A7D31E5B51}"/>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5DB-43E0-9538-E3A7D31E5B51}"/>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5DB-43E0-9538-E3A7D31E5B51}"/>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5DB-43E0-9538-E3A7D31E5B51}"/>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5DB-43E0-9538-E3A7D31E5B51}"/>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'21'!$M$9:$M$18</c:f>
              <c:numCache>
                <c:formatCode>0.0</c:formatCode>
                <c:ptCount val="10"/>
                <c:pt idx="0">
                  <c:v>3.8</c:v>
                </c:pt>
                <c:pt idx="1">
                  <c:v>3.475304324370101</c:v>
                </c:pt>
                <c:pt idx="2">
                  <c:v>4.0999999999999996</c:v>
                </c:pt>
                <c:pt idx="3">
                  <c:v>3.5</c:v>
                </c:pt>
                <c:pt idx="4">
                  <c:v>3.2309502925054239</c:v>
                </c:pt>
                <c:pt idx="5">
                  <c:v>3.0219233952823776</c:v>
                </c:pt>
                <c:pt idx="6">
                  <c:v>2.4654441547981913</c:v>
                </c:pt>
                <c:pt idx="7">
                  <c:v>2.4392907853060035</c:v>
                </c:pt>
                <c:pt idx="8">
                  <c:v>2.2604877451730365</c:v>
                </c:pt>
                <c:pt idx="9">
                  <c:v>3.3966837396505842</c:v>
                </c:pt>
              </c:numCache>
            </c:numRef>
          </c:val>
          <c:smooth val="0"/>
          <c:extLst xmlns:c16r2="http://schemas.microsoft.com/office/drawing/2015/06/chart">
            <c:ext xmlns:c16="http://schemas.microsoft.com/office/drawing/2014/chart" uri="{C3380CC4-5D6E-409C-BE32-E72D297353CC}">
              <c16:uniqueId val="{00000008-55DB-43E0-9538-E3A7D31E5B51}"/>
            </c:ext>
          </c:extLst>
        </c:ser>
        <c:ser>
          <c:idx val="0"/>
          <c:order val="1"/>
          <c:tx>
            <c:strRef>
              <c:f>'21'!$J$7:$K$7</c:f>
              <c:strCache>
                <c:ptCount val="1"/>
                <c:pt idx="0">
                  <c:v>الذكور Males</c:v>
                </c:pt>
              </c:strCache>
            </c:strRef>
          </c:tx>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5DB-43E0-9538-E3A7D31E5B51}"/>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5DB-43E0-9538-E3A7D31E5B51}"/>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5DB-43E0-9538-E3A7D31E5B51}"/>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5DB-43E0-9538-E3A7D31E5B51}"/>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5DB-43E0-9538-E3A7D31E5B51}"/>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5DB-43E0-9538-E3A7D31E5B51}"/>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5DB-43E0-9538-E3A7D31E5B51}"/>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5DB-43E0-9538-E3A7D31E5B51}"/>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'21'!$K$9:$K$18</c:f>
              <c:numCache>
                <c:formatCode>0.0</c:formatCode>
                <c:ptCount val="10"/>
                <c:pt idx="0">
                  <c:v>1</c:v>
                </c:pt>
                <c:pt idx="1">
                  <c:v>0.95748937299136794</c:v>
                </c:pt>
                <c:pt idx="2">
                  <c:v>1.2</c:v>
                </c:pt>
                <c:pt idx="3">
                  <c:v>1</c:v>
                </c:pt>
                <c:pt idx="4">
                  <c:v>0.88430707983645362</c:v>
                </c:pt>
                <c:pt idx="5">
                  <c:v>0.78362528921289132</c:v>
                </c:pt>
                <c:pt idx="6">
                  <c:v>0.64198599566952286</c:v>
                </c:pt>
                <c:pt idx="7">
                  <c:v>0.64914093786332516</c:v>
                </c:pt>
                <c:pt idx="8">
                  <c:v>0.63820998836427645</c:v>
                </c:pt>
                <c:pt idx="9">
                  <c:v>0.98488923085685365</c:v>
                </c:pt>
              </c:numCache>
            </c:numRef>
          </c:val>
          <c:smooth val="0"/>
          <c:extLst xmlns:c16r2="http://schemas.microsoft.com/office/drawing/2015/06/chart">
            <c:ext xmlns:c16="http://schemas.microsoft.com/office/drawing/2014/chart" uri="{C3380CC4-5D6E-409C-BE32-E72D297353CC}">
              <c16:uniqueId val="{00000011-55DB-43E0-9538-E3A7D31E5B51}"/>
            </c:ext>
          </c:extLst>
        </c:ser>
        <c:dLbls>
          <c:showLegendKey val="0"/>
          <c:showVal val="1"/>
          <c:showCatName val="0"/>
          <c:showSerName val="0"/>
          <c:showPercent val="0"/>
          <c:showBubbleSize val="0"/>
        </c:dLbls>
        <c:marker val="1"/>
        <c:smooth val="0"/>
        <c:axId val="143610624"/>
        <c:axId val="143612544"/>
      </c:lineChart>
      <c:catAx>
        <c:axId val="143610624"/>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السنوات  </a:t>
                </a:r>
                <a:r>
                  <a:rPr lang="en-US" sz="1100" b="1" i="0" u="none" strike="noStrike" baseline="0">
                    <a:solidFill>
                      <a:srgbClr val="000000"/>
                    </a:solidFill>
                    <a:latin typeface="Arial"/>
                    <a:cs typeface="Arial"/>
                  </a:rPr>
                  <a:t>Years</a:t>
                </a:r>
              </a:p>
            </c:rich>
          </c:tx>
          <c:layout>
            <c:manualLayout>
              <c:xMode val="edge"/>
              <c:yMode val="edge"/>
              <c:x val="0.46679071895674051"/>
              <c:y val="0.9477268360323021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3612544"/>
        <c:crosses val="autoZero"/>
        <c:auto val="1"/>
        <c:lblAlgn val="ctr"/>
        <c:lblOffset val="100"/>
        <c:tickLblSkip val="1"/>
        <c:tickMarkSkip val="1"/>
        <c:noMultiLvlLbl val="0"/>
      </c:catAx>
      <c:valAx>
        <c:axId val="143612544"/>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Arial"/>
                    <a:cs typeface="Arial"/>
                  </a:rPr>
                  <a:t>المعدل</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Rate</a:t>
                </a:r>
              </a:p>
            </c:rich>
          </c:tx>
          <c:layout>
            <c:manualLayout>
              <c:xMode val="edge"/>
              <c:yMode val="edge"/>
              <c:x val="1.1439248060094184E-2"/>
              <c:y val="5.4411528747585799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3610624"/>
        <c:crosses val="autoZero"/>
        <c:crossBetween val="between"/>
        <c:majorUnit val="1"/>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7.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8.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9.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0.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xml"/></Relationships>
</file>

<file path=xl/drawings/_rels/drawing1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2.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6.xml"/></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8.xml"/></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9.xml"/></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0.xml"/></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1.xml"/></Relationships>
</file>

<file path=xl/drawings/_rels/drawing5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70.xml.rels><?xml version="1.0" encoding="UTF-8" standalone="yes"?>
<Relationships xmlns="http://schemas.openxmlformats.org/package/2006/relationships"><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8.xml.rels><?xml version="1.0" encoding="UTF-8" standalone="yes"?>
<Relationships xmlns="http://schemas.openxmlformats.org/package/2006/relationships"><Relationship Id="rId1" Type="http://schemas.openxmlformats.org/officeDocument/2006/relationships/image" Target="../media/image3.png"/></Relationships>
</file>

<file path=xl/drawings/_rels/drawing79.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1" Type="http://schemas.openxmlformats.org/officeDocument/2006/relationships/image" Target="../media/image3.png"/></Relationships>
</file>

<file path=xl/drawings/_rels/drawing83.xml.rels><?xml version="1.0" encoding="UTF-8" standalone="yes"?>
<Relationships xmlns="http://schemas.openxmlformats.org/package/2006/relationships"><Relationship Id="rId1" Type="http://schemas.openxmlformats.org/officeDocument/2006/relationships/image" Target="../media/image3.png"/></Relationships>
</file>

<file path=xl/drawings/_rels/drawing84.xml.rels><?xml version="1.0" encoding="UTF-8" standalone="yes"?>
<Relationships xmlns="http://schemas.openxmlformats.org/package/2006/relationships"><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86.xml.rels><?xml version="1.0" encoding="UTF-8" standalone="yes"?>
<Relationships xmlns="http://schemas.openxmlformats.org/package/2006/relationships"><Relationship Id="rId1" Type="http://schemas.openxmlformats.org/officeDocument/2006/relationships/image" Target="../media/image3.png"/></Relationships>
</file>

<file path=xl/drawings/_rels/drawing8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9.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_rels/drawing9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91.xml.rels><?xml version="1.0" encoding="UTF-8" standalone="yes"?>
<Relationships xmlns="http://schemas.openxmlformats.org/package/2006/relationships"><Relationship Id="rId1" Type="http://schemas.openxmlformats.org/officeDocument/2006/relationships/image" Target="../media/image3.png"/></Relationships>
</file>

<file path=xl/drawings/_rels/drawing92.xml.rels><?xml version="1.0" encoding="UTF-8" standalone="yes"?>
<Relationships xmlns="http://schemas.openxmlformats.org/package/2006/relationships"><Relationship Id="rId1" Type="http://schemas.openxmlformats.org/officeDocument/2006/relationships/image" Target="../media/image3.png"/></Relationships>
</file>

<file path=xl/drawings/_rels/drawing93.xml.rels><?xml version="1.0" encoding="UTF-8" standalone="yes"?>
<Relationships xmlns="http://schemas.openxmlformats.org/package/2006/relationships"><Relationship Id="rId1" Type="http://schemas.openxmlformats.org/officeDocument/2006/relationships/image" Target="../media/image3.png"/></Relationships>
</file>

<file path=xl/drawings/_rels/drawing94.xml.rels><?xml version="1.0" encoding="UTF-8" standalone="yes"?>
<Relationships xmlns="http://schemas.openxmlformats.org/package/2006/relationships"><Relationship Id="rId1" Type="http://schemas.openxmlformats.org/officeDocument/2006/relationships/image" Target="../media/image3.png"/></Relationships>
</file>

<file path=xl/drawings/_rels/drawing95.xml.rels><?xml version="1.0" encoding="UTF-8" standalone="yes"?>
<Relationships xmlns="http://schemas.openxmlformats.org/package/2006/relationships"><Relationship Id="rId1" Type="http://schemas.openxmlformats.org/officeDocument/2006/relationships/image" Target="../media/image3.png"/></Relationships>
</file>

<file path=xl/drawings/_rels/drawing96.xml.rels><?xml version="1.0" encoding="UTF-8" standalone="yes"?>
<Relationships xmlns="http://schemas.openxmlformats.org/package/2006/relationships"><Relationship Id="rId1" Type="http://schemas.openxmlformats.org/officeDocument/2006/relationships/image" Target="../media/image3.png"/></Relationships>
</file>

<file path=xl/drawings/_rels/drawing9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5.xml"/></Relationships>
</file>

<file path=xl/drawings/_rels/drawing9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xdr:row>
      <xdr:rowOff>28575</xdr:rowOff>
    </xdr:from>
    <xdr:to>
      <xdr:col>10</xdr:col>
      <xdr:colOff>529589</xdr:colOff>
      <xdr:row>59</xdr:row>
      <xdr:rowOff>9525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11" t="2083" r="2259" b="2367"/>
        <a:stretch/>
      </xdr:blipFill>
      <xdr:spPr>
        <a:xfrm>
          <a:off x="9981060811" y="190500"/>
          <a:ext cx="6587489" cy="9372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57150</xdr:colOff>
      <xdr:row>0</xdr:row>
      <xdr:rowOff>95250</xdr:rowOff>
    </xdr:from>
    <xdr:to>
      <xdr:col>13</xdr:col>
      <xdr:colOff>777150</xdr:colOff>
      <xdr:row>2</xdr:row>
      <xdr:rowOff>167550</xdr:rowOff>
    </xdr:to>
    <xdr:pic>
      <xdr:nvPicPr>
        <xdr:cNvPr id="4" name="Picture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98775" y="95250"/>
          <a:ext cx="720000" cy="72000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13</xdr:col>
      <xdr:colOff>590550</xdr:colOff>
      <xdr:row>0</xdr:row>
      <xdr:rowOff>66675</xdr:rowOff>
    </xdr:from>
    <xdr:to>
      <xdr:col>13</xdr:col>
      <xdr:colOff>1310550</xdr:colOff>
      <xdr:row>3</xdr:row>
      <xdr:rowOff>81825</xdr:rowOff>
    </xdr:to>
    <xdr:pic>
      <xdr:nvPicPr>
        <xdr:cNvPr id="3" name="Picture 2">
          <a:extLst>
            <a:ext uri="{FF2B5EF4-FFF2-40B4-BE49-F238E27FC236}">
              <a16:creationId xmlns:a16="http://schemas.microsoft.com/office/drawing/2014/main" xmlns="" id="{00000000-0008-0000-6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41625" y="66675"/>
          <a:ext cx="720000" cy="7200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57150</xdr:colOff>
      <xdr:row>0</xdr:row>
      <xdr:rowOff>104775</xdr:rowOff>
    </xdr:from>
    <xdr:to>
      <xdr:col>13</xdr:col>
      <xdr:colOff>514350</xdr:colOff>
      <xdr:row>35</xdr:row>
      <xdr:rowOff>66675</xdr:rowOff>
    </xdr:to>
    <xdr:graphicFrame macro="">
      <xdr:nvGraphicFramePr>
        <xdr:cNvPr id="4" name="Chart 4">
          <a:extLst>
            <a:ext uri="{FF2B5EF4-FFF2-40B4-BE49-F238E27FC236}">
              <a16:creationId xmlns:a16="http://schemas.microsoft.com/office/drawing/2014/main" xmlns="" id="{00000000-0008-0000-6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323850</xdr:colOff>
      <xdr:row>1</xdr:row>
      <xdr:rowOff>0</xdr:rowOff>
    </xdr:from>
    <xdr:to>
      <xdr:col>13</xdr:col>
      <xdr:colOff>434250</xdr:colOff>
      <xdr:row>5</xdr:row>
      <xdr:rowOff>72300</xdr:rowOff>
    </xdr:to>
    <xdr:pic>
      <xdr:nvPicPr>
        <xdr:cNvPr id="5" name="Picture 4">
          <a:extLst>
            <a:ext uri="{FF2B5EF4-FFF2-40B4-BE49-F238E27FC236}">
              <a16:creationId xmlns:a16="http://schemas.microsoft.com/office/drawing/2014/main" xmlns="" id="{00000000-0008-0000-6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27350" y="161925"/>
          <a:ext cx="720000" cy="7200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13</xdr:col>
      <xdr:colOff>609600</xdr:colOff>
      <xdr:row>0</xdr:row>
      <xdr:rowOff>95250</xdr:rowOff>
    </xdr:from>
    <xdr:to>
      <xdr:col>13</xdr:col>
      <xdr:colOff>1329600</xdr:colOff>
      <xdr:row>3</xdr:row>
      <xdr:rowOff>110400</xdr:rowOff>
    </xdr:to>
    <xdr:pic>
      <xdr:nvPicPr>
        <xdr:cNvPr id="3" name="Picture 2">
          <a:extLst>
            <a:ext uri="{FF2B5EF4-FFF2-40B4-BE49-F238E27FC236}">
              <a16:creationId xmlns:a16="http://schemas.microsoft.com/office/drawing/2014/main" xmlns="" id="{00000000-0008-0000-6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22575" y="95250"/>
          <a:ext cx="720000" cy="7200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76200</xdr:colOff>
      <xdr:row>0</xdr:row>
      <xdr:rowOff>95250</xdr:rowOff>
    </xdr:from>
    <xdr:to>
      <xdr:col>13</xdr:col>
      <xdr:colOff>552450</xdr:colOff>
      <xdr:row>35</xdr:row>
      <xdr:rowOff>19050</xdr:rowOff>
    </xdr:to>
    <xdr:graphicFrame macro="">
      <xdr:nvGraphicFramePr>
        <xdr:cNvPr id="4" name="Chart 4">
          <a:extLst>
            <a:ext uri="{FF2B5EF4-FFF2-40B4-BE49-F238E27FC236}">
              <a16:creationId xmlns:a16="http://schemas.microsoft.com/office/drawing/2014/main" xmlns="" id="{00000000-0008-0000-6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352425</xdr:colOff>
      <xdr:row>0</xdr:row>
      <xdr:rowOff>104775</xdr:rowOff>
    </xdr:from>
    <xdr:to>
      <xdr:col>13</xdr:col>
      <xdr:colOff>462825</xdr:colOff>
      <xdr:row>5</xdr:row>
      <xdr:rowOff>15150</xdr:rowOff>
    </xdr:to>
    <xdr:pic>
      <xdr:nvPicPr>
        <xdr:cNvPr id="5" name="Picture 4">
          <a:extLst>
            <a:ext uri="{FF2B5EF4-FFF2-40B4-BE49-F238E27FC236}">
              <a16:creationId xmlns:a16="http://schemas.microsoft.com/office/drawing/2014/main" xmlns="" id="{00000000-0008-0000-6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98775" y="104775"/>
          <a:ext cx="720000" cy="7200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14</xdr:col>
      <xdr:colOff>381000</xdr:colOff>
      <xdr:row>0</xdr:row>
      <xdr:rowOff>104775</xdr:rowOff>
    </xdr:from>
    <xdr:to>
      <xdr:col>14</xdr:col>
      <xdr:colOff>1101000</xdr:colOff>
      <xdr:row>3</xdr:row>
      <xdr:rowOff>119925</xdr:rowOff>
    </xdr:to>
    <xdr:pic>
      <xdr:nvPicPr>
        <xdr:cNvPr id="3" name="Picture 2">
          <a:extLst>
            <a:ext uri="{FF2B5EF4-FFF2-40B4-BE49-F238E27FC236}">
              <a16:creationId xmlns:a16="http://schemas.microsoft.com/office/drawing/2014/main" xmlns="" id="{00000000-0008-0000-6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32025" y="104775"/>
          <a:ext cx="720000" cy="7200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a:extLst>
            <a:ext uri="{FF2B5EF4-FFF2-40B4-BE49-F238E27FC236}">
              <a16:creationId xmlns:a16="http://schemas.microsoft.com/office/drawing/2014/main" xmlns="" id="{00000000-0008-0000-6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295275</xdr:colOff>
      <xdr:row>0</xdr:row>
      <xdr:rowOff>152400</xdr:rowOff>
    </xdr:from>
    <xdr:to>
      <xdr:col>13</xdr:col>
      <xdr:colOff>405675</xdr:colOff>
      <xdr:row>5</xdr:row>
      <xdr:rowOff>62775</xdr:rowOff>
    </xdr:to>
    <xdr:pic>
      <xdr:nvPicPr>
        <xdr:cNvPr id="5" name="Picture 4">
          <a:extLst>
            <a:ext uri="{FF2B5EF4-FFF2-40B4-BE49-F238E27FC236}">
              <a16:creationId xmlns:a16="http://schemas.microsoft.com/office/drawing/2014/main" xmlns="" id="{00000000-0008-0000-6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55925" y="152400"/>
          <a:ext cx="720000" cy="7200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14</xdr:col>
      <xdr:colOff>361950</xdr:colOff>
      <xdr:row>0</xdr:row>
      <xdr:rowOff>95250</xdr:rowOff>
    </xdr:from>
    <xdr:to>
      <xdr:col>14</xdr:col>
      <xdr:colOff>1081950</xdr:colOff>
      <xdr:row>3</xdr:row>
      <xdr:rowOff>110400</xdr:rowOff>
    </xdr:to>
    <xdr:pic>
      <xdr:nvPicPr>
        <xdr:cNvPr id="3" name="Picture 2">
          <a:extLst>
            <a:ext uri="{FF2B5EF4-FFF2-40B4-BE49-F238E27FC236}">
              <a16:creationId xmlns:a16="http://schemas.microsoft.com/office/drawing/2014/main" xmlns="" id="{00000000-0008-0000-6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51075" y="95250"/>
          <a:ext cx="720000" cy="7200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a:extLst>
            <a:ext uri="{FF2B5EF4-FFF2-40B4-BE49-F238E27FC236}">
              <a16:creationId xmlns:a16="http://schemas.microsoft.com/office/drawing/2014/main" xmlns="" id="{00000000-0008-0000-7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304800</xdr:colOff>
      <xdr:row>0</xdr:row>
      <xdr:rowOff>104775</xdr:rowOff>
    </xdr:from>
    <xdr:to>
      <xdr:col>13</xdr:col>
      <xdr:colOff>415200</xdr:colOff>
      <xdr:row>5</xdr:row>
      <xdr:rowOff>15150</xdr:rowOff>
    </xdr:to>
    <xdr:pic>
      <xdr:nvPicPr>
        <xdr:cNvPr id="5" name="Picture 4">
          <a:extLst>
            <a:ext uri="{FF2B5EF4-FFF2-40B4-BE49-F238E27FC236}">
              <a16:creationId xmlns:a16="http://schemas.microsoft.com/office/drawing/2014/main" xmlns="" id="{00000000-0008-0000-7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46400" y="104775"/>
          <a:ext cx="720000" cy="7200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14</xdr:col>
      <xdr:colOff>400050</xdr:colOff>
      <xdr:row>0</xdr:row>
      <xdr:rowOff>133350</xdr:rowOff>
    </xdr:from>
    <xdr:to>
      <xdr:col>14</xdr:col>
      <xdr:colOff>1120050</xdr:colOff>
      <xdr:row>3</xdr:row>
      <xdr:rowOff>148500</xdr:rowOff>
    </xdr:to>
    <xdr:pic>
      <xdr:nvPicPr>
        <xdr:cNvPr id="3" name="Picture 2">
          <a:extLst>
            <a:ext uri="{FF2B5EF4-FFF2-40B4-BE49-F238E27FC236}">
              <a16:creationId xmlns:a16="http://schemas.microsoft.com/office/drawing/2014/main" xmlns="" id="{00000000-0008-0000-7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12975" y="133350"/>
          <a:ext cx="720000" cy="7200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a:extLst>
            <a:ext uri="{FF2B5EF4-FFF2-40B4-BE49-F238E27FC236}">
              <a16:creationId xmlns:a16="http://schemas.microsoft.com/office/drawing/2014/main" xmlns="" id="{00000000-0008-0000-7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295275</xdr:colOff>
      <xdr:row>0</xdr:row>
      <xdr:rowOff>104775</xdr:rowOff>
    </xdr:from>
    <xdr:to>
      <xdr:col>13</xdr:col>
      <xdr:colOff>405675</xdr:colOff>
      <xdr:row>5</xdr:row>
      <xdr:rowOff>15150</xdr:rowOff>
    </xdr:to>
    <xdr:pic>
      <xdr:nvPicPr>
        <xdr:cNvPr id="5" name="Picture 4">
          <a:extLst>
            <a:ext uri="{FF2B5EF4-FFF2-40B4-BE49-F238E27FC236}">
              <a16:creationId xmlns:a16="http://schemas.microsoft.com/office/drawing/2014/main" xmlns="" id="{00000000-0008-0000-7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55925" y="104775"/>
          <a:ext cx="720000" cy="7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12</xdr:col>
      <xdr:colOff>571500</xdr:colOff>
      <xdr:row>32</xdr:row>
      <xdr:rowOff>152400</xdr:rowOff>
    </xdr:to>
    <xdr:graphicFrame macro="">
      <xdr:nvGraphicFramePr>
        <xdr:cNvPr id="4" name="Chart 4">
          <a:extLst>
            <a:ext uri="{FF2B5EF4-FFF2-40B4-BE49-F238E27FC236}">
              <a16:creationId xmlns:a16="http://schemas.microsoft.com/office/drawing/2014/main" xmlns=""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304800</xdr:colOff>
      <xdr:row>0</xdr:row>
      <xdr:rowOff>76200</xdr:rowOff>
    </xdr:from>
    <xdr:to>
      <xdr:col>12</xdr:col>
      <xdr:colOff>415200</xdr:colOff>
      <xdr:row>3</xdr:row>
      <xdr:rowOff>138975</xdr:rowOff>
    </xdr:to>
    <xdr:pic>
      <xdr:nvPicPr>
        <xdr:cNvPr id="6" name="Picture 5">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56000" y="76200"/>
          <a:ext cx="720000" cy="72000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11</xdr:col>
      <xdr:colOff>828675</xdr:colOff>
      <xdr:row>0</xdr:row>
      <xdr:rowOff>171450</xdr:rowOff>
    </xdr:from>
    <xdr:to>
      <xdr:col>11</xdr:col>
      <xdr:colOff>1548675</xdr:colOff>
      <xdr:row>3</xdr:row>
      <xdr:rowOff>158025</xdr:rowOff>
    </xdr:to>
    <xdr:pic>
      <xdr:nvPicPr>
        <xdr:cNvPr id="3" name="Picture 2">
          <a:extLst>
            <a:ext uri="{FF2B5EF4-FFF2-40B4-BE49-F238E27FC236}">
              <a16:creationId xmlns:a16="http://schemas.microsoft.com/office/drawing/2014/main" xmlns="" id="{00000000-0008-0000-7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0350" y="171450"/>
          <a:ext cx="720000" cy="7200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11</xdr:col>
      <xdr:colOff>847725</xdr:colOff>
      <xdr:row>0</xdr:row>
      <xdr:rowOff>123825</xdr:rowOff>
    </xdr:from>
    <xdr:to>
      <xdr:col>11</xdr:col>
      <xdr:colOff>1567725</xdr:colOff>
      <xdr:row>3</xdr:row>
      <xdr:rowOff>110400</xdr:rowOff>
    </xdr:to>
    <xdr:pic>
      <xdr:nvPicPr>
        <xdr:cNvPr id="3" name="Picture 2">
          <a:extLst>
            <a:ext uri="{FF2B5EF4-FFF2-40B4-BE49-F238E27FC236}">
              <a16:creationId xmlns:a16="http://schemas.microsoft.com/office/drawing/2014/main" xmlns="" id="{00000000-0008-0000-7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51300" y="123825"/>
          <a:ext cx="720000" cy="7200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11</xdr:col>
      <xdr:colOff>828675</xdr:colOff>
      <xdr:row>0</xdr:row>
      <xdr:rowOff>133350</xdr:rowOff>
    </xdr:from>
    <xdr:to>
      <xdr:col>11</xdr:col>
      <xdr:colOff>1548675</xdr:colOff>
      <xdr:row>3</xdr:row>
      <xdr:rowOff>119925</xdr:rowOff>
    </xdr:to>
    <xdr:pic>
      <xdr:nvPicPr>
        <xdr:cNvPr id="3" name="Picture 2">
          <a:extLst>
            <a:ext uri="{FF2B5EF4-FFF2-40B4-BE49-F238E27FC236}">
              <a16:creationId xmlns:a16="http://schemas.microsoft.com/office/drawing/2014/main" xmlns="" id="{00000000-0008-0000-7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0350" y="133350"/>
          <a:ext cx="720000" cy="7200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13</xdr:col>
      <xdr:colOff>828675</xdr:colOff>
      <xdr:row>0</xdr:row>
      <xdr:rowOff>66675</xdr:rowOff>
    </xdr:from>
    <xdr:to>
      <xdr:col>13</xdr:col>
      <xdr:colOff>1548675</xdr:colOff>
      <xdr:row>3</xdr:row>
      <xdr:rowOff>129450</xdr:rowOff>
    </xdr:to>
    <xdr:pic>
      <xdr:nvPicPr>
        <xdr:cNvPr id="3" name="Picture 2">
          <a:extLst>
            <a:ext uri="{FF2B5EF4-FFF2-40B4-BE49-F238E27FC236}">
              <a16:creationId xmlns:a16="http://schemas.microsoft.com/office/drawing/2014/main" xmlns="" id="{00000000-0008-0000-7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66675"/>
          <a:ext cx="720000" cy="7200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47625</xdr:colOff>
      <xdr:row>0</xdr:row>
      <xdr:rowOff>85725</xdr:rowOff>
    </xdr:from>
    <xdr:to>
      <xdr:col>12</xdr:col>
      <xdr:colOff>571500</xdr:colOff>
      <xdr:row>31</xdr:row>
      <xdr:rowOff>66675</xdr:rowOff>
    </xdr:to>
    <xdr:graphicFrame macro="">
      <xdr:nvGraphicFramePr>
        <xdr:cNvPr id="4" name="Chart 4">
          <a:extLst>
            <a:ext uri="{FF2B5EF4-FFF2-40B4-BE49-F238E27FC236}">
              <a16:creationId xmlns:a16="http://schemas.microsoft.com/office/drawing/2014/main" xmlns="" id="{00000000-0008-0000-7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438150</xdr:colOff>
      <xdr:row>0</xdr:row>
      <xdr:rowOff>114300</xdr:rowOff>
    </xdr:from>
    <xdr:to>
      <xdr:col>12</xdr:col>
      <xdr:colOff>548550</xdr:colOff>
      <xdr:row>5</xdr:row>
      <xdr:rowOff>24675</xdr:rowOff>
    </xdr:to>
    <xdr:pic>
      <xdr:nvPicPr>
        <xdr:cNvPr id="5" name="Picture 4">
          <a:extLst>
            <a:ext uri="{FF2B5EF4-FFF2-40B4-BE49-F238E27FC236}">
              <a16:creationId xmlns:a16="http://schemas.microsoft.com/office/drawing/2014/main" xmlns="" id="{00000000-0008-0000-7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22650" y="114300"/>
          <a:ext cx="720000" cy="7200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11</xdr:col>
      <xdr:colOff>571500</xdr:colOff>
      <xdr:row>0</xdr:row>
      <xdr:rowOff>123825</xdr:rowOff>
    </xdr:from>
    <xdr:to>
      <xdr:col>11</xdr:col>
      <xdr:colOff>1291500</xdr:colOff>
      <xdr:row>2</xdr:row>
      <xdr:rowOff>81825</xdr:rowOff>
    </xdr:to>
    <xdr:pic>
      <xdr:nvPicPr>
        <xdr:cNvPr id="3" name="Picture 2">
          <a:extLst>
            <a:ext uri="{FF2B5EF4-FFF2-40B4-BE49-F238E27FC236}">
              <a16:creationId xmlns:a16="http://schemas.microsoft.com/office/drawing/2014/main" xmlns="" id="{00000000-0008-0000-7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60825" y="123825"/>
          <a:ext cx="720000" cy="7200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4</xdr:col>
      <xdr:colOff>1066800</xdr:colOff>
      <xdr:row>0</xdr:row>
      <xdr:rowOff>95250</xdr:rowOff>
    </xdr:from>
    <xdr:to>
      <xdr:col>4</xdr:col>
      <xdr:colOff>1786800</xdr:colOff>
      <xdr:row>2</xdr:row>
      <xdr:rowOff>43725</xdr:rowOff>
    </xdr:to>
    <xdr:pic>
      <xdr:nvPicPr>
        <xdr:cNvPr id="3" name="Picture 2">
          <a:extLst>
            <a:ext uri="{FF2B5EF4-FFF2-40B4-BE49-F238E27FC236}">
              <a16:creationId xmlns:a16="http://schemas.microsoft.com/office/drawing/2014/main" xmlns="" id="{00000000-0008-0000-7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737550" y="95250"/>
          <a:ext cx="720000" cy="7200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4</xdr:col>
      <xdr:colOff>819150</xdr:colOff>
      <xdr:row>0</xdr:row>
      <xdr:rowOff>85725</xdr:rowOff>
    </xdr:from>
    <xdr:to>
      <xdr:col>4</xdr:col>
      <xdr:colOff>1539150</xdr:colOff>
      <xdr:row>1</xdr:row>
      <xdr:rowOff>500925</xdr:rowOff>
    </xdr:to>
    <xdr:pic>
      <xdr:nvPicPr>
        <xdr:cNvPr id="3" name="Picture 2">
          <a:extLst>
            <a:ext uri="{FF2B5EF4-FFF2-40B4-BE49-F238E27FC236}">
              <a16:creationId xmlns:a16="http://schemas.microsoft.com/office/drawing/2014/main" xmlns="" id="{00000000-0008-0000-7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718500" y="85725"/>
          <a:ext cx="720000" cy="7200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1">
          <a:extLst>
            <a:ext uri="{FF2B5EF4-FFF2-40B4-BE49-F238E27FC236}">
              <a16:creationId xmlns:a16="http://schemas.microsoft.com/office/drawing/2014/main" xmlns="" id="{00000000-0008-0000-7B00-000002000000}"/>
            </a:ext>
          </a:extLst>
        </xdr:cNvPr>
        <xdr:cNvGrpSpPr>
          <a:grpSpLocks/>
        </xdr:cNvGrpSpPr>
      </xdr:nvGrpSpPr>
      <xdr:grpSpPr bwMode="auto">
        <a:xfrm flipH="1">
          <a:off x="10734868548" y="155448"/>
          <a:ext cx="5015484" cy="2679192"/>
          <a:chOff x="0" y="17"/>
          <a:chExt cx="490" cy="293"/>
        </a:xfrm>
      </xdr:grpSpPr>
      <xdr:pic>
        <xdr:nvPicPr>
          <xdr:cNvPr id="3" name="Picture 2" descr="bor0019">
            <a:extLst>
              <a:ext uri="{FF2B5EF4-FFF2-40B4-BE49-F238E27FC236}">
                <a16:creationId xmlns:a16="http://schemas.microsoft.com/office/drawing/2014/main" xmlns="" id="{00000000-0008-0000-7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a:extLst>
              <a:ext uri="{FF2B5EF4-FFF2-40B4-BE49-F238E27FC236}">
                <a16:creationId xmlns:a16="http://schemas.microsoft.com/office/drawing/2014/main" xmlns="" id="{00000000-0008-0000-7B00-000004000000}"/>
              </a:ext>
            </a:extLst>
          </xdr:cNvPr>
          <xdr:cNvSpPr txBox="1">
            <a:spLocks noChangeArrowheads="1"/>
          </xdr:cNvSpPr>
        </xdr:nvSpPr>
        <xdr:spPr bwMode="auto">
          <a:xfrm>
            <a:off x="66" y="111"/>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2800" b="0" i="0" strike="noStrike">
                <a:solidFill>
                  <a:srgbClr val="0000FF"/>
                </a:solidFill>
                <a:cs typeface="Hesham Bold"/>
              </a:rPr>
              <a:t>المـــــلاحق</a:t>
            </a:r>
            <a:endParaRPr lang="ar-QA" sz="1000" b="0" i="0" strike="noStrike">
              <a:solidFill>
                <a:srgbClr val="0000FF"/>
              </a:solidFill>
              <a:latin typeface="Arial"/>
              <a:cs typeface="Arial"/>
            </a:endParaRPr>
          </a:p>
          <a:p>
            <a:pPr algn="ctr" rtl="0">
              <a:defRPr sz="1000"/>
            </a:pPr>
            <a:r>
              <a:rPr lang="en-US" sz="2000" b="0" i="0" strike="noStrike">
                <a:solidFill>
                  <a:srgbClr val="0000FF"/>
                </a:solidFill>
                <a:latin typeface="Arial Black"/>
              </a:rPr>
              <a:t>ANNECS</a:t>
            </a:r>
          </a:p>
        </xdr:txBody>
      </xdr:sp>
    </xdr:grp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85725</xdr:colOff>
      <xdr:row>1</xdr:row>
      <xdr:rowOff>180975</xdr:rowOff>
    </xdr:from>
    <xdr:to>
      <xdr:col>2</xdr:col>
      <xdr:colOff>1258980</xdr:colOff>
      <xdr:row>3</xdr:row>
      <xdr:rowOff>76200</xdr:rowOff>
    </xdr:to>
    <xdr:sp macro="" textlink="">
      <xdr:nvSpPr>
        <xdr:cNvPr id="2" name="Text Box 1">
          <a:extLst>
            <a:ext uri="{FF2B5EF4-FFF2-40B4-BE49-F238E27FC236}">
              <a16:creationId xmlns:a16="http://schemas.microsoft.com/office/drawing/2014/main" xmlns="" id="{00000000-0008-0000-7C00-000002000000}"/>
            </a:ext>
          </a:extLst>
        </xdr:cNvPr>
        <xdr:cNvSpPr txBox="1">
          <a:spLocks noChangeArrowheads="1"/>
        </xdr:cNvSpPr>
      </xdr:nvSpPr>
      <xdr:spPr bwMode="auto">
        <a:xfrm>
          <a:off x="9985855920" y="371475"/>
          <a:ext cx="17447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defRPr sz="1000"/>
          </a:pPr>
          <a:r>
            <a:rPr lang="ar-QA" sz="1000" b="1" i="0" strike="noStrike">
              <a:solidFill>
                <a:srgbClr val="000000"/>
              </a:solidFill>
              <a:latin typeface="Arial"/>
              <a:cs typeface="Arial"/>
            </a:rPr>
            <a:t>البيانات سرية بحكم قانون الإحصاءات</a:t>
          </a:r>
          <a:r>
            <a:rPr lang="ar-QA" sz="1000" b="1" i="0" strike="noStrike" baseline="0">
              <a:solidFill>
                <a:srgbClr val="000000"/>
              </a:solidFill>
              <a:latin typeface="Arial"/>
              <a:cs typeface="Arial"/>
            </a:rPr>
            <a:t> الرسمية</a:t>
          </a:r>
          <a:endParaRPr lang="ar-QA" sz="1000" b="1" i="0" strike="noStrike">
            <a:solidFill>
              <a:srgbClr val="000000"/>
            </a:solidFill>
            <a:latin typeface="Arial"/>
            <a:cs typeface="Arial"/>
          </a:endParaRPr>
        </a:p>
      </xdr:txBody>
    </xdr:sp>
    <xdr:clientData/>
  </xdr:twoCellAnchor>
  <xdr:twoCellAnchor>
    <xdr:from>
      <xdr:col>5</xdr:col>
      <xdr:colOff>306479</xdr:colOff>
      <xdr:row>2</xdr:row>
      <xdr:rowOff>19050</xdr:rowOff>
    </xdr:from>
    <xdr:to>
      <xdr:col>7</xdr:col>
      <xdr:colOff>449355</xdr:colOff>
      <xdr:row>3</xdr:row>
      <xdr:rowOff>104775</xdr:rowOff>
    </xdr:to>
    <xdr:sp macro="" textlink="">
      <xdr:nvSpPr>
        <xdr:cNvPr id="3" name="Text Box 1">
          <a:extLst>
            <a:ext uri="{FF2B5EF4-FFF2-40B4-BE49-F238E27FC236}">
              <a16:creationId xmlns:a16="http://schemas.microsoft.com/office/drawing/2014/main" xmlns="" id="{00000000-0008-0000-7C00-000003000000}"/>
            </a:ext>
          </a:extLst>
        </xdr:cNvPr>
        <xdr:cNvSpPr txBox="1">
          <a:spLocks noChangeArrowheads="1"/>
        </xdr:cNvSpPr>
      </xdr:nvSpPr>
      <xdr:spPr bwMode="auto">
        <a:xfrm>
          <a:off x="9982969845" y="400050"/>
          <a:ext cx="1362076"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r>
            <a:rPr lang="en-US" sz="800" b="1" i="0">
              <a:latin typeface="+mn-lt"/>
              <a:ea typeface="+mn-ea"/>
              <a:cs typeface="+mn-cs"/>
            </a:rPr>
            <a:t>Data</a:t>
          </a:r>
          <a:r>
            <a:rPr lang="en-US" sz="800" b="1" i="0" baseline="0">
              <a:latin typeface="+mn-lt"/>
              <a:ea typeface="+mn-ea"/>
              <a:cs typeface="+mn-cs"/>
            </a:rPr>
            <a:t> are confidential by virtue of the  Official Statistics Law</a:t>
          </a:r>
          <a:endParaRPr lang="en-US" sz="800">
            <a:latin typeface="+mn-lt"/>
            <a:ea typeface="+mn-ea"/>
            <a:cs typeface="+mn-cs"/>
          </a:endParaRPr>
        </a:p>
      </xdr:txBody>
    </xdr:sp>
    <xdr:clientData/>
  </xdr:twoCellAnchor>
  <xdr:twoCellAnchor editAs="oneCell">
    <xdr:from>
      <xdr:col>6</xdr:col>
      <xdr:colOff>685800</xdr:colOff>
      <xdr:row>0</xdr:row>
      <xdr:rowOff>171450</xdr:rowOff>
    </xdr:from>
    <xdr:to>
      <xdr:col>7</xdr:col>
      <xdr:colOff>291375</xdr:colOff>
      <xdr:row>1</xdr:row>
      <xdr:rowOff>15150</xdr:rowOff>
    </xdr:to>
    <xdr:pic>
      <xdr:nvPicPr>
        <xdr:cNvPr id="5" name="Picture 4">
          <a:extLst>
            <a:ext uri="{FF2B5EF4-FFF2-40B4-BE49-F238E27FC236}">
              <a16:creationId xmlns:a16="http://schemas.microsoft.com/office/drawing/2014/main" xmlns="" id="{00000000-0008-0000-7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127825" y="171450"/>
          <a:ext cx="720000" cy="7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24</xdr:col>
      <xdr:colOff>114300</xdr:colOff>
      <xdr:row>0</xdr:row>
      <xdr:rowOff>114300</xdr:rowOff>
    </xdr:from>
    <xdr:to>
      <xdr:col>24</xdr:col>
      <xdr:colOff>834300</xdr:colOff>
      <xdr:row>3</xdr:row>
      <xdr:rowOff>119925</xdr:rowOff>
    </xdr:to>
    <xdr:pic>
      <xdr:nvPicPr>
        <xdr:cNvPr id="3" name="Picture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2564600" y="114300"/>
          <a:ext cx="720000" cy="72000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84046</xdr:colOff>
      <xdr:row>1</xdr:row>
      <xdr:rowOff>172571</xdr:rowOff>
    </xdr:from>
    <xdr:to>
      <xdr:col>2</xdr:col>
      <xdr:colOff>1257301</xdr:colOff>
      <xdr:row>3</xdr:row>
      <xdr:rowOff>67796</xdr:rowOff>
    </xdr:to>
    <xdr:sp macro="" textlink="">
      <xdr:nvSpPr>
        <xdr:cNvPr id="2" name="Text Box 1">
          <a:extLst>
            <a:ext uri="{FF2B5EF4-FFF2-40B4-BE49-F238E27FC236}">
              <a16:creationId xmlns:a16="http://schemas.microsoft.com/office/drawing/2014/main" xmlns="" id="{00000000-0008-0000-7D00-000002000000}"/>
            </a:ext>
          </a:extLst>
        </xdr:cNvPr>
        <xdr:cNvSpPr txBox="1">
          <a:spLocks noChangeArrowheads="1"/>
        </xdr:cNvSpPr>
      </xdr:nvSpPr>
      <xdr:spPr bwMode="auto">
        <a:xfrm>
          <a:off x="9985857599" y="363071"/>
          <a:ext cx="17447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defRPr sz="1000"/>
          </a:pPr>
          <a:r>
            <a:rPr lang="ar-QA" sz="1000" b="1" i="0" strike="noStrike">
              <a:solidFill>
                <a:srgbClr val="000000"/>
              </a:solidFill>
              <a:latin typeface="Arial"/>
              <a:cs typeface="Arial"/>
            </a:rPr>
            <a:t>البيانات سرية بحكم قانون الإحصاءات</a:t>
          </a:r>
          <a:r>
            <a:rPr lang="ar-QA" sz="1000" b="1" i="0" strike="noStrike" baseline="0">
              <a:solidFill>
                <a:srgbClr val="000000"/>
              </a:solidFill>
              <a:latin typeface="Arial"/>
              <a:cs typeface="Arial"/>
            </a:rPr>
            <a:t> الرسمية</a:t>
          </a:r>
          <a:endParaRPr lang="ar-QA" sz="1000" b="1" i="0" strike="noStrike">
            <a:solidFill>
              <a:srgbClr val="000000"/>
            </a:solidFill>
            <a:latin typeface="Arial"/>
            <a:cs typeface="Arial"/>
          </a:endParaRPr>
        </a:p>
      </xdr:txBody>
    </xdr:sp>
    <xdr:clientData/>
  </xdr:twoCellAnchor>
  <xdr:twoCellAnchor>
    <xdr:from>
      <xdr:col>5</xdr:col>
      <xdr:colOff>381000</xdr:colOff>
      <xdr:row>2</xdr:row>
      <xdr:rowOff>10646</xdr:rowOff>
    </xdr:from>
    <xdr:to>
      <xdr:col>7</xdr:col>
      <xdr:colOff>523876</xdr:colOff>
      <xdr:row>3</xdr:row>
      <xdr:rowOff>96371</xdr:rowOff>
    </xdr:to>
    <xdr:sp macro="" textlink="">
      <xdr:nvSpPr>
        <xdr:cNvPr id="3" name="Text Box 1">
          <a:extLst>
            <a:ext uri="{FF2B5EF4-FFF2-40B4-BE49-F238E27FC236}">
              <a16:creationId xmlns:a16="http://schemas.microsoft.com/office/drawing/2014/main" xmlns="" id="{00000000-0008-0000-7D00-000003000000}"/>
            </a:ext>
          </a:extLst>
        </xdr:cNvPr>
        <xdr:cNvSpPr txBox="1">
          <a:spLocks noChangeArrowheads="1"/>
        </xdr:cNvSpPr>
      </xdr:nvSpPr>
      <xdr:spPr bwMode="auto">
        <a:xfrm>
          <a:off x="9982895324" y="391646"/>
          <a:ext cx="1362076"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r>
            <a:rPr lang="en-US" sz="800" b="1" i="0">
              <a:latin typeface="+mn-lt"/>
              <a:ea typeface="+mn-ea"/>
              <a:cs typeface="+mn-cs"/>
            </a:rPr>
            <a:t>Data</a:t>
          </a:r>
          <a:r>
            <a:rPr lang="en-US" sz="800" b="1" i="0" baseline="0">
              <a:latin typeface="+mn-lt"/>
              <a:ea typeface="+mn-ea"/>
              <a:cs typeface="+mn-cs"/>
            </a:rPr>
            <a:t> are confidential by virtue of the  Official Statistics Law</a:t>
          </a:r>
          <a:endParaRPr lang="en-US" sz="800">
            <a:latin typeface="+mn-lt"/>
            <a:ea typeface="+mn-ea"/>
            <a:cs typeface="+mn-cs"/>
          </a:endParaRPr>
        </a:p>
      </xdr:txBody>
    </xdr:sp>
    <xdr:clientData/>
  </xdr:twoCellAnchor>
  <xdr:twoCellAnchor editAs="oneCell">
    <xdr:from>
      <xdr:col>6</xdr:col>
      <xdr:colOff>800100</xdr:colOff>
      <xdr:row>0</xdr:row>
      <xdr:rowOff>142875</xdr:rowOff>
    </xdr:from>
    <xdr:to>
      <xdr:col>7</xdr:col>
      <xdr:colOff>405675</xdr:colOff>
      <xdr:row>0</xdr:row>
      <xdr:rowOff>862875</xdr:rowOff>
    </xdr:to>
    <xdr:pic>
      <xdr:nvPicPr>
        <xdr:cNvPr id="5" name="Picture 4">
          <a:extLst>
            <a:ext uri="{FF2B5EF4-FFF2-40B4-BE49-F238E27FC236}">
              <a16:creationId xmlns:a16="http://schemas.microsoft.com/office/drawing/2014/main" xmlns="" id="{00000000-0008-0000-7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013525" y="142875"/>
          <a:ext cx="720000"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76199</xdr:colOff>
      <xdr:row>0</xdr:row>
      <xdr:rowOff>133350</xdr:rowOff>
    </xdr:from>
    <xdr:to>
      <xdr:col>9</xdr:col>
      <xdr:colOff>527485</xdr:colOff>
      <xdr:row>53</xdr:row>
      <xdr:rowOff>66674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75" t="1326" r="1072" b="758"/>
        <a:stretch/>
      </xdr:blipFill>
      <xdr:spPr>
        <a:xfrm>
          <a:off x="9981672515" y="133350"/>
          <a:ext cx="5937686" cy="85153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295275</xdr:colOff>
      <xdr:row>0</xdr:row>
      <xdr:rowOff>76200</xdr:rowOff>
    </xdr:from>
    <xdr:to>
      <xdr:col>7</xdr:col>
      <xdr:colOff>1015275</xdr:colOff>
      <xdr:row>2</xdr:row>
      <xdr:rowOff>110400</xdr:rowOff>
    </xdr:to>
    <xdr:pic>
      <xdr:nvPicPr>
        <xdr:cNvPr id="4" name="Picture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70650" y="76200"/>
          <a:ext cx="720000" cy="72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762000</xdr:colOff>
      <xdr:row>0</xdr:row>
      <xdr:rowOff>66675</xdr:rowOff>
    </xdr:from>
    <xdr:to>
      <xdr:col>9</xdr:col>
      <xdr:colOff>1482000</xdr:colOff>
      <xdr:row>3</xdr:row>
      <xdr:rowOff>81825</xdr:rowOff>
    </xdr:to>
    <xdr:pic>
      <xdr:nvPicPr>
        <xdr:cNvPr id="4" name="Picture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689550" y="66675"/>
          <a:ext cx="720000" cy="72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247650</xdr:colOff>
      <xdr:row>0</xdr:row>
      <xdr:rowOff>104776</xdr:rowOff>
    </xdr:from>
    <xdr:to>
      <xdr:col>12</xdr:col>
      <xdr:colOff>400050</xdr:colOff>
      <xdr:row>29</xdr:row>
      <xdr:rowOff>19051</xdr:rowOff>
    </xdr:to>
    <xdr:graphicFrame macro="">
      <xdr:nvGraphicFramePr>
        <xdr:cNvPr id="4" name="Chart 4">
          <a:extLst>
            <a:ext uri="{FF2B5EF4-FFF2-40B4-BE49-F238E27FC236}">
              <a16:creationId xmlns:a16="http://schemas.microsoft.com/office/drawing/2014/main" xmlns=""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152400</xdr:colOff>
      <xdr:row>0</xdr:row>
      <xdr:rowOff>133350</xdr:rowOff>
    </xdr:from>
    <xdr:to>
      <xdr:col>12</xdr:col>
      <xdr:colOff>262800</xdr:colOff>
      <xdr:row>5</xdr:row>
      <xdr:rowOff>43725</xdr:rowOff>
    </xdr:to>
    <xdr:pic>
      <xdr:nvPicPr>
        <xdr:cNvPr id="6" name="Picture 5">
          <a:extLst>
            <a:ext uri="{FF2B5EF4-FFF2-40B4-BE49-F238E27FC236}">
              <a16:creationId xmlns:a16="http://schemas.microsoft.com/office/drawing/2014/main" xmlns="" id="{00000000-0008-0000-1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108400" y="133350"/>
          <a:ext cx="720000" cy="7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895350</xdr:colOff>
      <xdr:row>0</xdr:row>
      <xdr:rowOff>76200</xdr:rowOff>
    </xdr:from>
    <xdr:to>
      <xdr:col>16</xdr:col>
      <xdr:colOff>1615350</xdr:colOff>
      <xdr:row>3</xdr:row>
      <xdr:rowOff>91350</xdr:rowOff>
    </xdr:to>
    <xdr:pic>
      <xdr:nvPicPr>
        <xdr:cNvPr id="4" name="Picture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7422350" y="76200"/>
          <a:ext cx="720000"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1000125</xdr:colOff>
      <xdr:row>0</xdr:row>
      <xdr:rowOff>85725</xdr:rowOff>
    </xdr:from>
    <xdr:to>
      <xdr:col>13</xdr:col>
      <xdr:colOff>1720125</xdr:colOff>
      <xdr:row>3</xdr:row>
      <xdr:rowOff>100875</xdr:rowOff>
    </xdr:to>
    <xdr:pic>
      <xdr:nvPicPr>
        <xdr:cNvPr id="4" name="Picture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13050" y="85725"/>
          <a:ext cx="720000" cy="7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942975</xdr:colOff>
      <xdr:row>0</xdr:row>
      <xdr:rowOff>95250</xdr:rowOff>
    </xdr:from>
    <xdr:to>
      <xdr:col>13</xdr:col>
      <xdr:colOff>1662975</xdr:colOff>
      <xdr:row>3</xdr:row>
      <xdr:rowOff>110400</xdr:rowOff>
    </xdr:to>
    <xdr:pic>
      <xdr:nvPicPr>
        <xdr:cNvPr id="4" name="Picture 3">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70200" y="95250"/>
          <a:ext cx="720000"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1">
          <a:extLst>
            <a:ext uri="{FF2B5EF4-FFF2-40B4-BE49-F238E27FC236}">
              <a16:creationId xmlns:a16="http://schemas.microsoft.com/office/drawing/2014/main" xmlns="" id="{00000000-0008-0000-0800-000002000000}"/>
            </a:ext>
          </a:extLst>
        </xdr:cNvPr>
        <xdr:cNvGrpSpPr>
          <a:grpSpLocks/>
        </xdr:cNvGrpSpPr>
      </xdr:nvGrpSpPr>
      <xdr:grpSpPr bwMode="auto">
        <a:xfrm flipH="1">
          <a:off x="11390271225" y="161925"/>
          <a:ext cx="5248275" cy="2790825"/>
          <a:chOff x="0" y="17"/>
          <a:chExt cx="490" cy="293"/>
        </a:xfrm>
      </xdr:grpSpPr>
      <xdr:pic>
        <xdr:nvPicPr>
          <xdr:cNvPr id="3" name="Picture 2" descr="bor0019">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a:extLst>
              <a:ext uri="{FF2B5EF4-FFF2-40B4-BE49-F238E27FC236}">
                <a16:creationId xmlns:a16="http://schemas.microsoft.com/office/drawing/2014/main" xmlns="" id="{00000000-0008-0000-0800-000004000000}"/>
              </a:ext>
            </a:extLst>
          </xdr:cNvPr>
          <xdr:cNvSpPr txBox="1">
            <a:spLocks noChangeArrowheads="1"/>
          </xdr:cNvSpPr>
        </xdr:nvSpPr>
        <xdr:spPr bwMode="auto">
          <a:xfrm>
            <a:off x="63" y="86"/>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3200" b="1" i="0" strike="noStrike">
                <a:solidFill>
                  <a:srgbClr val="0000FF"/>
                </a:solidFill>
                <a:latin typeface="Sakkal Majalla" panose="02000000000000000000" pitchFamily="2" charset="-78"/>
                <a:cs typeface="Sakkal Majalla" panose="02000000000000000000" pitchFamily="2" charset="-78"/>
              </a:rPr>
              <a:t>البـــاب الأول : الـــزواج</a:t>
            </a:r>
          </a:p>
          <a:p>
            <a:pPr algn="ctr" rtl="0">
              <a:defRPr sz="1000"/>
            </a:pPr>
            <a:r>
              <a:rPr lang="en-US" sz="2000" b="1" i="0" strike="noStrike">
                <a:solidFill>
                  <a:srgbClr val="0000FF"/>
                </a:solidFill>
                <a:latin typeface="Arial" panose="020B0604020202020204" pitchFamily="34" charset="0"/>
                <a:cs typeface="Arial" panose="020B0604020202020204" pitchFamily="34" charset="0"/>
              </a:rPr>
              <a:t>FIRST SECTION: MARRIAGES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942975</xdr:colOff>
      <xdr:row>0</xdr:row>
      <xdr:rowOff>123825</xdr:rowOff>
    </xdr:from>
    <xdr:to>
      <xdr:col>13</xdr:col>
      <xdr:colOff>1662975</xdr:colOff>
      <xdr:row>3</xdr:row>
      <xdr:rowOff>138975</xdr:rowOff>
    </xdr:to>
    <xdr:pic>
      <xdr:nvPicPr>
        <xdr:cNvPr id="4" name="Picture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70200" y="123825"/>
          <a:ext cx="720000"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962025</xdr:colOff>
      <xdr:row>0</xdr:row>
      <xdr:rowOff>95250</xdr:rowOff>
    </xdr:from>
    <xdr:to>
      <xdr:col>13</xdr:col>
      <xdr:colOff>1682025</xdr:colOff>
      <xdr:row>3</xdr:row>
      <xdr:rowOff>110400</xdr:rowOff>
    </xdr:to>
    <xdr:pic>
      <xdr:nvPicPr>
        <xdr:cNvPr id="4" name="Picture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95250"/>
          <a:ext cx="720000" cy="72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1000125</xdr:colOff>
      <xdr:row>0</xdr:row>
      <xdr:rowOff>95250</xdr:rowOff>
    </xdr:from>
    <xdr:to>
      <xdr:col>7</xdr:col>
      <xdr:colOff>1720125</xdr:colOff>
      <xdr:row>3</xdr:row>
      <xdr:rowOff>110400</xdr:rowOff>
    </xdr:to>
    <xdr:pic>
      <xdr:nvPicPr>
        <xdr:cNvPr id="4" name="Picture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70650" y="95250"/>
          <a:ext cx="720000" cy="72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971550</xdr:colOff>
      <xdr:row>0</xdr:row>
      <xdr:rowOff>142875</xdr:rowOff>
    </xdr:from>
    <xdr:to>
      <xdr:col>7</xdr:col>
      <xdr:colOff>1691550</xdr:colOff>
      <xdr:row>3</xdr:row>
      <xdr:rowOff>158025</xdr:rowOff>
    </xdr:to>
    <xdr:pic>
      <xdr:nvPicPr>
        <xdr:cNvPr id="4" name="Picture 3">
          <a:extLst>
            <a:ext uri="{FF2B5EF4-FFF2-40B4-BE49-F238E27FC236}">
              <a16:creationId xmlns:a16="http://schemas.microsoft.com/office/drawing/2014/main" xmlns=""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99225" y="142875"/>
          <a:ext cx="720000" cy="72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962025</xdr:colOff>
      <xdr:row>0</xdr:row>
      <xdr:rowOff>85725</xdr:rowOff>
    </xdr:from>
    <xdr:to>
      <xdr:col>7</xdr:col>
      <xdr:colOff>1682025</xdr:colOff>
      <xdr:row>3</xdr:row>
      <xdr:rowOff>100875</xdr:rowOff>
    </xdr:to>
    <xdr:pic>
      <xdr:nvPicPr>
        <xdr:cNvPr id="4" name="Picture 3">
          <a:extLst>
            <a:ext uri="{FF2B5EF4-FFF2-40B4-BE49-F238E27FC236}">
              <a16:creationId xmlns:a16="http://schemas.microsoft.com/office/drawing/2014/main" xmlns="" id="{00000000-0008-0000-1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908750" y="85725"/>
          <a:ext cx="720000" cy="72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1000125</xdr:colOff>
      <xdr:row>0</xdr:row>
      <xdr:rowOff>85725</xdr:rowOff>
    </xdr:from>
    <xdr:to>
      <xdr:col>7</xdr:col>
      <xdr:colOff>1720125</xdr:colOff>
      <xdr:row>3</xdr:row>
      <xdr:rowOff>100875</xdr:rowOff>
    </xdr:to>
    <xdr:pic>
      <xdr:nvPicPr>
        <xdr:cNvPr id="4" name="Picture 3">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70650" y="85725"/>
          <a:ext cx="720000" cy="72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933450</xdr:colOff>
      <xdr:row>0</xdr:row>
      <xdr:rowOff>95250</xdr:rowOff>
    </xdr:from>
    <xdr:to>
      <xdr:col>7</xdr:col>
      <xdr:colOff>1653450</xdr:colOff>
      <xdr:row>3</xdr:row>
      <xdr:rowOff>110400</xdr:rowOff>
    </xdr:to>
    <xdr:pic>
      <xdr:nvPicPr>
        <xdr:cNvPr id="4" name="Picture 3">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937325" y="95250"/>
          <a:ext cx="720000" cy="72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981075</xdr:colOff>
      <xdr:row>0</xdr:row>
      <xdr:rowOff>85725</xdr:rowOff>
    </xdr:from>
    <xdr:to>
      <xdr:col>7</xdr:col>
      <xdr:colOff>1701075</xdr:colOff>
      <xdr:row>3</xdr:row>
      <xdr:rowOff>100875</xdr:rowOff>
    </xdr:to>
    <xdr:pic>
      <xdr:nvPicPr>
        <xdr:cNvPr id="4" name="Picture 3">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89700" y="85725"/>
          <a:ext cx="720000" cy="72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981075</xdr:colOff>
      <xdr:row>0</xdr:row>
      <xdr:rowOff>85725</xdr:rowOff>
    </xdr:from>
    <xdr:to>
      <xdr:col>6</xdr:col>
      <xdr:colOff>1701075</xdr:colOff>
      <xdr:row>3</xdr:row>
      <xdr:rowOff>100875</xdr:rowOff>
    </xdr:to>
    <xdr:pic>
      <xdr:nvPicPr>
        <xdr:cNvPr id="4" name="Picture 3">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499300" y="85725"/>
          <a:ext cx="720000" cy="72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971550</xdr:colOff>
      <xdr:row>0</xdr:row>
      <xdr:rowOff>66675</xdr:rowOff>
    </xdr:from>
    <xdr:to>
      <xdr:col>6</xdr:col>
      <xdr:colOff>1691550</xdr:colOff>
      <xdr:row>3</xdr:row>
      <xdr:rowOff>81825</xdr:rowOff>
    </xdr:to>
    <xdr:pic>
      <xdr:nvPicPr>
        <xdr:cNvPr id="4" name="Picture 3">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508825" y="66675"/>
          <a:ext cx="720000"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89625</xdr:colOff>
      <xdr:row>0</xdr:row>
      <xdr:rowOff>76199</xdr:rowOff>
    </xdr:from>
    <xdr:to>
      <xdr:col>13</xdr:col>
      <xdr:colOff>809625</xdr:colOff>
      <xdr:row>3</xdr:row>
      <xdr:rowOff>100874</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75825" y="76199"/>
          <a:ext cx="720000" cy="72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1019175</xdr:colOff>
      <xdr:row>0</xdr:row>
      <xdr:rowOff>104775</xdr:rowOff>
    </xdr:from>
    <xdr:to>
      <xdr:col>6</xdr:col>
      <xdr:colOff>1739175</xdr:colOff>
      <xdr:row>3</xdr:row>
      <xdr:rowOff>119925</xdr:rowOff>
    </xdr:to>
    <xdr:pic>
      <xdr:nvPicPr>
        <xdr:cNvPr id="4" name="Picture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461200" y="104775"/>
          <a:ext cx="720000" cy="72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933450</xdr:colOff>
      <xdr:row>0</xdr:row>
      <xdr:rowOff>76200</xdr:rowOff>
    </xdr:from>
    <xdr:to>
      <xdr:col>5</xdr:col>
      <xdr:colOff>1653450</xdr:colOff>
      <xdr:row>3</xdr:row>
      <xdr:rowOff>91350</xdr:rowOff>
    </xdr:to>
    <xdr:pic>
      <xdr:nvPicPr>
        <xdr:cNvPr id="4" name="Picture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18425" y="76200"/>
          <a:ext cx="720000" cy="72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923925</xdr:colOff>
      <xdr:row>0</xdr:row>
      <xdr:rowOff>57150</xdr:rowOff>
    </xdr:from>
    <xdr:to>
      <xdr:col>5</xdr:col>
      <xdr:colOff>1643925</xdr:colOff>
      <xdr:row>3</xdr:row>
      <xdr:rowOff>72300</xdr:rowOff>
    </xdr:to>
    <xdr:pic>
      <xdr:nvPicPr>
        <xdr:cNvPr id="4" name="Picture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27950" y="57150"/>
          <a:ext cx="720000" cy="72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942975</xdr:colOff>
      <xdr:row>0</xdr:row>
      <xdr:rowOff>114300</xdr:rowOff>
    </xdr:from>
    <xdr:to>
      <xdr:col>5</xdr:col>
      <xdr:colOff>1662975</xdr:colOff>
      <xdr:row>3</xdr:row>
      <xdr:rowOff>129450</xdr:rowOff>
    </xdr:to>
    <xdr:pic>
      <xdr:nvPicPr>
        <xdr:cNvPr id="4" name="Picture 3">
          <a:extLst>
            <a:ext uri="{FF2B5EF4-FFF2-40B4-BE49-F238E27FC236}">
              <a16:creationId xmlns:a16="http://schemas.microsoft.com/office/drawing/2014/main" xmlns="" id="{00000000-0008-0000-2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08900" y="114300"/>
          <a:ext cx="720000" cy="72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11</xdr:col>
      <xdr:colOff>495300</xdr:colOff>
      <xdr:row>0</xdr:row>
      <xdr:rowOff>85725</xdr:rowOff>
    </xdr:from>
    <xdr:to>
      <xdr:col>11</xdr:col>
      <xdr:colOff>1215300</xdr:colOff>
      <xdr:row>3</xdr:row>
      <xdr:rowOff>72300</xdr:rowOff>
    </xdr:to>
    <xdr:pic>
      <xdr:nvPicPr>
        <xdr:cNvPr id="4" name="Picture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51300" y="85725"/>
          <a:ext cx="720000" cy="72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514350</xdr:colOff>
      <xdr:row>0</xdr:row>
      <xdr:rowOff>85725</xdr:rowOff>
    </xdr:from>
    <xdr:to>
      <xdr:col>11</xdr:col>
      <xdr:colOff>1234350</xdr:colOff>
      <xdr:row>3</xdr:row>
      <xdr:rowOff>72300</xdr:rowOff>
    </xdr:to>
    <xdr:pic>
      <xdr:nvPicPr>
        <xdr:cNvPr id="4" name="Picture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32250" y="85725"/>
          <a:ext cx="720000" cy="72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495300</xdr:colOff>
      <xdr:row>0</xdr:row>
      <xdr:rowOff>85725</xdr:rowOff>
    </xdr:from>
    <xdr:to>
      <xdr:col>11</xdr:col>
      <xdr:colOff>1215300</xdr:colOff>
      <xdr:row>3</xdr:row>
      <xdr:rowOff>72300</xdr:rowOff>
    </xdr:to>
    <xdr:pic>
      <xdr:nvPicPr>
        <xdr:cNvPr id="4" name="Picture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51300" y="85725"/>
          <a:ext cx="720000" cy="720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19050</xdr:colOff>
      <xdr:row>0</xdr:row>
      <xdr:rowOff>123825</xdr:rowOff>
    </xdr:from>
    <xdr:to>
      <xdr:col>12</xdr:col>
      <xdr:colOff>571500</xdr:colOff>
      <xdr:row>31</xdr:row>
      <xdr:rowOff>152400</xdr:rowOff>
    </xdr:to>
    <xdr:graphicFrame macro="">
      <xdr:nvGraphicFramePr>
        <xdr:cNvPr id="4" name="Chart 4">
          <a:extLst>
            <a:ext uri="{FF2B5EF4-FFF2-40B4-BE49-F238E27FC236}">
              <a16:creationId xmlns:a16="http://schemas.microsoft.com/office/drawing/2014/main" xmlns=""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390525</xdr:colOff>
      <xdr:row>0</xdr:row>
      <xdr:rowOff>142875</xdr:rowOff>
    </xdr:from>
    <xdr:to>
      <xdr:col>12</xdr:col>
      <xdr:colOff>500925</xdr:colOff>
      <xdr:row>5</xdr:row>
      <xdr:rowOff>53250</xdr:rowOff>
    </xdr:to>
    <xdr:pic>
      <xdr:nvPicPr>
        <xdr:cNvPr id="3" name="Picture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70275" y="142875"/>
          <a:ext cx="720000" cy="720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14</xdr:col>
      <xdr:colOff>1238250</xdr:colOff>
      <xdr:row>0</xdr:row>
      <xdr:rowOff>123825</xdr:rowOff>
    </xdr:from>
    <xdr:to>
      <xdr:col>14</xdr:col>
      <xdr:colOff>1958250</xdr:colOff>
      <xdr:row>4</xdr:row>
      <xdr:rowOff>15150</xdr:rowOff>
    </xdr:to>
    <xdr:pic>
      <xdr:nvPicPr>
        <xdr:cNvPr id="4" name="Picture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03450" y="123825"/>
          <a:ext cx="720000" cy="720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14</xdr:col>
      <xdr:colOff>1219200</xdr:colOff>
      <xdr:row>0</xdr:row>
      <xdr:rowOff>133350</xdr:rowOff>
    </xdr:from>
    <xdr:to>
      <xdr:col>14</xdr:col>
      <xdr:colOff>1939200</xdr:colOff>
      <xdr:row>4</xdr:row>
      <xdr:rowOff>24675</xdr:rowOff>
    </xdr:to>
    <xdr:pic>
      <xdr:nvPicPr>
        <xdr:cNvPr id="4" name="Picture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22500" y="133350"/>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1</xdr:row>
      <xdr:rowOff>133350</xdr:rowOff>
    </xdr:from>
    <xdr:to>
      <xdr:col>12</xdr:col>
      <xdr:colOff>561975</xdr:colOff>
      <xdr:row>35</xdr:row>
      <xdr:rowOff>142875</xdr:rowOff>
    </xdr:to>
    <xdr:graphicFrame macro="">
      <xdr:nvGraphicFramePr>
        <xdr:cNvPr id="2" name="Chart 1">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400050</xdr:colOff>
      <xdr:row>0</xdr:row>
      <xdr:rowOff>104775</xdr:rowOff>
    </xdr:from>
    <xdr:to>
      <xdr:col>12</xdr:col>
      <xdr:colOff>510450</xdr:colOff>
      <xdr:row>1</xdr:row>
      <xdr:rowOff>339000</xdr:rowOff>
    </xdr:to>
    <xdr:pic>
      <xdr:nvPicPr>
        <xdr:cNvPr id="5" name="Picture 4">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60750" y="104775"/>
          <a:ext cx="720000" cy="720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14</xdr:col>
      <xdr:colOff>1181100</xdr:colOff>
      <xdr:row>0</xdr:row>
      <xdr:rowOff>76200</xdr:rowOff>
    </xdr:from>
    <xdr:to>
      <xdr:col>14</xdr:col>
      <xdr:colOff>1901100</xdr:colOff>
      <xdr:row>3</xdr:row>
      <xdr:rowOff>167550</xdr:rowOff>
    </xdr:to>
    <xdr:pic>
      <xdr:nvPicPr>
        <xdr:cNvPr id="4" name="Picture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60600" y="76200"/>
          <a:ext cx="720000" cy="720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133350</xdr:colOff>
      <xdr:row>0</xdr:row>
      <xdr:rowOff>238124</xdr:rowOff>
    </xdr:from>
    <xdr:to>
      <xdr:col>13</xdr:col>
      <xdr:colOff>495300</xdr:colOff>
      <xdr:row>31</xdr:row>
      <xdr:rowOff>133350</xdr:rowOff>
    </xdr:to>
    <xdr:graphicFrame macro="">
      <xdr:nvGraphicFramePr>
        <xdr:cNvPr id="5" name="Chart 4">
          <a:extLst>
            <a:ext uri="{FF2B5EF4-FFF2-40B4-BE49-F238E27FC236}">
              <a16:creationId xmlns:a16="http://schemas.microsoft.com/office/drawing/2014/main" xmlns=""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200025</xdr:colOff>
      <xdr:row>0</xdr:row>
      <xdr:rowOff>209550</xdr:rowOff>
    </xdr:from>
    <xdr:to>
      <xdr:col>13</xdr:col>
      <xdr:colOff>310425</xdr:colOff>
      <xdr:row>3</xdr:row>
      <xdr:rowOff>138975</xdr:rowOff>
    </xdr:to>
    <xdr:pic>
      <xdr:nvPicPr>
        <xdr:cNvPr id="6" name="Picture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451175" y="209550"/>
          <a:ext cx="720000" cy="720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13</xdr:col>
      <xdr:colOff>495300</xdr:colOff>
      <xdr:row>0</xdr:row>
      <xdr:rowOff>85725</xdr:rowOff>
    </xdr:from>
    <xdr:to>
      <xdr:col>13</xdr:col>
      <xdr:colOff>1215300</xdr:colOff>
      <xdr:row>2</xdr:row>
      <xdr:rowOff>119925</xdr:rowOff>
    </xdr:to>
    <xdr:pic>
      <xdr:nvPicPr>
        <xdr:cNvPr id="4" name="Picture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98775" y="85725"/>
          <a:ext cx="720000" cy="720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13</xdr:col>
      <xdr:colOff>552450</xdr:colOff>
      <xdr:row>0</xdr:row>
      <xdr:rowOff>85725</xdr:rowOff>
    </xdr:from>
    <xdr:to>
      <xdr:col>13</xdr:col>
      <xdr:colOff>1272450</xdr:colOff>
      <xdr:row>2</xdr:row>
      <xdr:rowOff>119925</xdr:rowOff>
    </xdr:to>
    <xdr:pic>
      <xdr:nvPicPr>
        <xdr:cNvPr id="4" name="Picture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41625" y="85725"/>
          <a:ext cx="720000" cy="720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13</xdr:col>
      <xdr:colOff>542925</xdr:colOff>
      <xdr:row>0</xdr:row>
      <xdr:rowOff>133350</xdr:rowOff>
    </xdr:from>
    <xdr:to>
      <xdr:col>13</xdr:col>
      <xdr:colOff>1262925</xdr:colOff>
      <xdr:row>2</xdr:row>
      <xdr:rowOff>167550</xdr:rowOff>
    </xdr:to>
    <xdr:pic>
      <xdr:nvPicPr>
        <xdr:cNvPr id="4" name="Picture 3">
          <a:extLst>
            <a:ext uri="{FF2B5EF4-FFF2-40B4-BE49-F238E27FC236}">
              <a16:creationId xmlns:a16="http://schemas.microsoft.com/office/drawing/2014/main" xmlns="" id="{00000000-0008-0000-3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133350"/>
          <a:ext cx="720000" cy="720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13</xdr:col>
      <xdr:colOff>457200</xdr:colOff>
      <xdr:row>0</xdr:row>
      <xdr:rowOff>66675</xdr:rowOff>
    </xdr:from>
    <xdr:to>
      <xdr:col>13</xdr:col>
      <xdr:colOff>1177200</xdr:colOff>
      <xdr:row>3</xdr:row>
      <xdr:rowOff>53250</xdr:rowOff>
    </xdr:to>
    <xdr:pic>
      <xdr:nvPicPr>
        <xdr:cNvPr id="4" name="Picture 3">
          <a:extLst>
            <a:ext uri="{FF2B5EF4-FFF2-40B4-BE49-F238E27FC236}">
              <a16:creationId xmlns:a16="http://schemas.microsoft.com/office/drawing/2014/main" xmlns="" id="{00000000-0008-0000-3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32100" y="66675"/>
          <a:ext cx="720000" cy="720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13</xdr:col>
      <xdr:colOff>828675</xdr:colOff>
      <xdr:row>0</xdr:row>
      <xdr:rowOff>57150</xdr:rowOff>
    </xdr:from>
    <xdr:to>
      <xdr:col>13</xdr:col>
      <xdr:colOff>1548675</xdr:colOff>
      <xdr:row>3</xdr:row>
      <xdr:rowOff>43725</xdr:rowOff>
    </xdr:to>
    <xdr:pic>
      <xdr:nvPicPr>
        <xdr:cNvPr id="4" name="Picture 3">
          <a:extLst>
            <a:ext uri="{FF2B5EF4-FFF2-40B4-BE49-F238E27FC236}">
              <a16:creationId xmlns:a16="http://schemas.microsoft.com/office/drawing/2014/main" xmlns="" id="{00000000-0008-0000-3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57150"/>
          <a:ext cx="720000" cy="720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114300</xdr:colOff>
      <xdr:row>1</xdr:row>
      <xdr:rowOff>57149</xdr:rowOff>
    </xdr:from>
    <xdr:to>
      <xdr:col>12</xdr:col>
      <xdr:colOff>466725</xdr:colOff>
      <xdr:row>31</xdr:row>
      <xdr:rowOff>66674</xdr:rowOff>
    </xdr:to>
    <xdr:graphicFrame macro="">
      <xdr:nvGraphicFramePr>
        <xdr:cNvPr id="4" name="Chart 4">
          <a:extLst>
            <a:ext uri="{FF2B5EF4-FFF2-40B4-BE49-F238E27FC236}">
              <a16:creationId xmlns:a16="http://schemas.microsoft.com/office/drawing/2014/main" xmlns=""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295275</xdr:colOff>
      <xdr:row>1</xdr:row>
      <xdr:rowOff>28575</xdr:rowOff>
    </xdr:from>
    <xdr:to>
      <xdr:col>12</xdr:col>
      <xdr:colOff>405675</xdr:colOff>
      <xdr:row>5</xdr:row>
      <xdr:rowOff>100875</xdr:rowOff>
    </xdr:to>
    <xdr:pic>
      <xdr:nvPicPr>
        <xdr:cNvPr id="6" name="Picture 5">
          <a:extLst>
            <a:ext uri="{FF2B5EF4-FFF2-40B4-BE49-F238E27FC236}">
              <a16:creationId xmlns:a16="http://schemas.microsoft.com/office/drawing/2014/main" xmlns="" id="{00000000-0008-0000-3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65525" y="190500"/>
          <a:ext cx="720000" cy="720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4">
          <a:extLst>
            <a:ext uri="{FF2B5EF4-FFF2-40B4-BE49-F238E27FC236}">
              <a16:creationId xmlns:a16="http://schemas.microsoft.com/office/drawing/2014/main" xmlns="" id="{00000000-0008-0000-3600-000002000000}"/>
            </a:ext>
          </a:extLst>
        </xdr:cNvPr>
        <xdr:cNvGrpSpPr>
          <a:grpSpLocks/>
        </xdr:cNvGrpSpPr>
      </xdr:nvGrpSpPr>
      <xdr:grpSpPr bwMode="auto">
        <a:xfrm flipH="1">
          <a:off x="11390271225" y="161925"/>
          <a:ext cx="5248275" cy="2790825"/>
          <a:chOff x="0" y="17"/>
          <a:chExt cx="490" cy="293"/>
        </a:xfrm>
      </xdr:grpSpPr>
      <xdr:pic>
        <xdr:nvPicPr>
          <xdr:cNvPr id="3" name="Picture 2" descr="bor0019">
            <a:extLst>
              <a:ext uri="{FF2B5EF4-FFF2-40B4-BE49-F238E27FC236}">
                <a16:creationId xmlns:a16="http://schemas.microsoft.com/office/drawing/2014/main" xmlns="" id="{00000000-0008-0000-3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a:extLst>
              <a:ext uri="{FF2B5EF4-FFF2-40B4-BE49-F238E27FC236}">
                <a16:creationId xmlns:a16="http://schemas.microsoft.com/office/drawing/2014/main" xmlns="" id="{00000000-0008-0000-3600-000004000000}"/>
              </a:ext>
            </a:extLst>
          </xdr:cNvPr>
          <xdr:cNvSpPr txBox="1">
            <a:spLocks noChangeArrowheads="1"/>
          </xdr:cNvSpPr>
        </xdr:nvSpPr>
        <xdr:spPr bwMode="auto">
          <a:xfrm>
            <a:off x="63" y="86"/>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3200" b="1" i="0" strike="noStrike">
                <a:solidFill>
                  <a:srgbClr val="0000FF"/>
                </a:solidFill>
                <a:latin typeface="Sakkal Majalla" panose="02000000000000000000" pitchFamily="2" charset="-78"/>
                <a:cs typeface="Sakkal Majalla" panose="02000000000000000000" pitchFamily="2" charset="-78"/>
              </a:rPr>
              <a:t>البـــاب الثـــاني : الطـــــــلاق</a:t>
            </a:r>
          </a:p>
          <a:p>
            <a:pPr algn="ctr" rtl="0">
              <a:defRPr sz="1000"/>
            </a:pPr>
            <a:r>
              <a:rPr lang="en-US" sz="2000" b="0" i="0" strike="noStrike">
                <a:solidFill>
                  <a:srgbClr val="0000FF"/>
                </a:solidFill>
                <a:latin typeface="Arial Black"/>
              </a:rPr>
              <a:t>SECOND SECTION: DIVORCES</a:t>
            </a:r>
          </a:p>
        </xdr:txBody>
      </xdr:sp>
    </xdr:grpSp>
    <xdr:clientData/>
  </xdr:twoCellAnchor>
</xdr:wsDr>
</file>

<file path=xl/drawings/drawing49.xml><?xml version="1.0" encoding="utf-8"?>
<xdr:wsDr xmlns:xdr="http://schemas.openxmlformats.org/drawingml/2006/spreadsheetDrawing" xmlns:a="http://schemas.openxmlformats.org/drawingml/2006/main">
  <xdr:twoCellAnchor editAs="oneCell">
    <xdr:from>
      <xdr:col>13</xdr:col>
      <xdr:colOff>95250</xdr:colOff>
      <xdr:row>0</xdr:row>
      <xdr:rowOff>114300</xdr:rowOff>
    </xdr:from>
    <xdr:to>
      <xdr:col>13</xdr:col>
      <xdr:colOff>815250</xdr:colOff>
      <xdr:row>2</xdr:row>
      <xdr:rowOff>186600</xdr:rowOff>
    </xdr:to>
    <xdr:pic>
      <xdr:nvPicPr>
        <xdr:cNvPr id="3" name="Picture 2">
          <a:extLst>
            <a:ext uri="{FF2B5EF4-FFF2-40B4-BE49-F238E27FC236}">
              <a16:creationId xmlns:a16="http://schemas.microsoft.com/office/drawing/2014/main" xmlns="" id="{00000000-0008-0000-3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60675" y="114300"/>
          <a:ext cx="720000"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28575</xdr:colOff>
      <xdr:row>0</xdr:row>
      <xdr:rowOff>114300</xdr:rowOff>
    </xdr:from>
    <xdr:to>
      <xdr:col>13</xdr:col>
      <xdr:colOff>748575</xdr:colOff>
      <xdr:row>2</xdr:row>
      <xdr:rowOff>158025</xdr:rowOff>
    </xdr:to>
    <xdr:pic>
      <xdr:nvPicPr>
        <xdr:cNvPr id="4" name="Picture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98775" y="114300"/>
          <a:ext cx="720000" cy="720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19051</xdr:colOff>
      <xdr:row>1</xdr:row>
      <xdr:rowOff>114300</xdr:rowOff>
    </xdr:from>
    <xdr:to>
      <xdr:col>12</xdr:col>
      <xdr:colOff>504826</xdr:colOff>
      <xdr:row>32</xdr:row>
      <xdr:rowOff>152400</xdr:rowOff>
    </xdr:to>
    <xdr:graphicFrame macro="">
      <xdr:nvGraphicFramePr>
        <xdr:cNvPr id="4" name="Chart 4">
          <a:extLst>
            <a:ext uri="{FF2B5EF4-FFF2-40B4-BE49-F238E27FC236}">
              <a16:creationId xmlns:a16="http://schemas.microsoft.com/office/drawing/2014/main" xmlns=""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342900</xdr:colOff>
      <xdr:row>0</xdr:row>
      <xdr:rowOff>114300</xdr:rowOff>
    </xdr:from>
    <xdr:to>
      <xdr:col>12</xdr:col>
      <xdr:colOff>453300</xdr:colOff>
      <xdr:row>3</xdr:row>
      <xdr:rowOff>34200</xdr:rowOff>
    </xdr:to>
    <xdr:pic>
      <xdr:nvPicPr>
        <xdr:cNvPr id="5" name="Picture 4">
          <a:extLst>
            <a:ext uri="{FF2B5EF4-FFF2-40B4-BE49-F238E27FC236}">
              <a16:creationId xmlns:a16="http://schemas.microsoft.com/office/drawing/2014/main" xmlns="" id="{00000000-0008-0000-3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17900" y="114300"/>
          <a:ext cx="720000" cy="720000"/>
        </a:xfrm>
        <a:prstGeom prst="rect">
          <a:avLst/>
        </a:prstGeom>
      </xdr:spPr>
    </xdr:pic>
    <xdr:clientData/>
  </xdr:twoCellAnchor>
</xdr:wsDr>
</file>

<file path=xl/drawings/drawing51.xml><?xml version="1.0" encoding="utf-8"?>
<c:userShapes xmlns:c="http://schemas.openxmlformats.org/drawingml/2006/chart">
  <cdr:relSizeAnchor xmlns:cdr="http://schemas.openxmlformats.org/drawingml/2006/chartDrawing">
    <cdr:from>
      <cdr:x>0.36784</cdr:x>
      <cdr:y>0.28343</cdr:y>
    </cdr:from>
    <cdr:to>
      <cdr:x>0.50465</cdr:x>
      <cdr:y>0.37965</cdr:y>
    </cdr:to>
    <cdr:sp macro="" textlink="">
      <cdr:nvSpPr>
        <cdr:cNvPr id="2" name="TextBox 1"/>
        <cdr:cNvSpPr txBox="1"/>
      </cdr:nvSpPr>
      <cdr:spPr>
        <a:xfrm xmlns:a="http://schemas.openxmlformats.org/drawingml/2006/main">
          <a:off x="3247884" y="1433548"/>
          <a:ext cx="1207988" cy="4866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ar-QA" sz="1100" b="1">
              <a:cs typeface="+mn-cs"/>
            </a:rPr>
            <a:t>الإناث</a:t>
          </a:r>
          <a:r>
            <a:rPr lang="ar-QA" sz="1100">
              <a:cs typeface="+mn-cs"/>
            </a:rPr>
            <a:t> </a:t>
          </a:r>
          <a:endParaRPr lang="en-US" sz="1100">
            <a:cs typeface="+mn-cs"/>
          </a:endParaRPr>
        </a:p>
        <a:p xmlns:a="http://schemas.openxmlformats.org/drawingml/2006/main">
          <a:pPr algn="ctr"/>
          <a:r>
            <a:rPr lang="en-US" sz="1100" b="1">
              <a:latin typeface="Arial" pitchFamily="34" charset="0"/>
              <a:cs typeface="Arial" pitchFamily="34" charset="0"/>
            </a:rPr>
            <a:t>Females</a:t>
          </a:r>
        </a:p>
      </cdr:txBody>
    </cdr:sp>
  </cdr:relSizeAnchor>
  <cdr:relSizeAnchor xmlns:cdr="http://schemas.openxmlformats.org/drawingml/2006/chartDrawing">
    <cdr:from>
      <cdr:x>0.24381</cdr:x>
      <cdr:y>0.59645</cdr:y>
    </cdr:from>
    <cdr:to>
      <cdr:x>0.38062</cdr:x>
      <cdr:y>0.69267</cdr:y>
    </cdr:to>
    <cdr:sp macro="" textlink="">
      <cdr:nvSpPr>
        <cdr:cNvPr id="3" name="TextBox 2"/>
        <cdr:cNvSpPr txBox="1"/>
      </cdr:nvSpPr>
      <cdr:spPr>
        <a:xfrm xmlns:a="http://schemas.openxmlformats.org/drawingml/2006/main">
          <a:off x="2152763" y="3016704"/>
          <a:ext cx="1207988" cy="4866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ar-QA" sz="1100" b="1">
              <a:cs typeface="+mn-cs"/>
            </a:rPr>
            <a:t>الذكور</a:t>
          </a:r>
          <a:endParaRPr lang="en-US" sz="1100" b="1">
            <a:cs typeface="+mn-cs"/>
          </a:endParaRPr>
        </a:p>
        <a:p xmlns:a="http://schemas.openxmlformats.org/drawingml/2006/main">
          <a:pPr algn="ctr"/>
          <a:r>
            <a:rPr lang="en-US" sz="1100" b="1">
              <a:latin typeface="Arial" pitchFamily="34" charset="0"/>
              <a:cs typeface="Arial" pitchFamily="34" charset="0"/>
            </a:rPr>
            <a:t>Males</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24</xdr:col>
      <xdr:colOff>209550</xdr:colOff>
      <xdr:row>0</xdr:row>
      <xdr:rowOff>85725</xdr:rowOff>
    </xdr:from>
    <xdr:to>
      <xdr:col>24</xdr:col>
      <xdr:colOff>929550</xdr:colOff>
      <xdr:row>3</xdr:row>
      <xdr:rowOff>91350</xdr:rowOff>
    </xdr:to>
    <xdr:pic>
      <xdr:nvPicPr>
        <xdr:cNvPr id="3" name="Picture 2">
          <a:extLst>
            <a:ext uri="{FF2B5EF4-FFF2-40B4-BE49-F238E27FC236}">
              <a16:creationId xmlns:a16="http://schemas.microsoft.com/office/drawing/2014/main" xmlns="" id="{00000000-0008-0000-3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2536025" y="85725"/>
          <a:ext cx="720000" cy="720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10</xdr:col>
      <xdr:colOff>533400</xdr:colOff>
      <xdr:row>57</xdr:row>
      <xdr:rowOff>92610</xdr:rowOff>
    </xdr:to>
    <xdr:pic>
      <xdr:nvPicPr>
        <xdr:cNvPr id="4" name="Picture 3">
          <a:extLst>
            <a:ext uri="{FF2B5EF4-FFF2-40B4-BE49-F238E27FC236}">
              <a16:creationId xmlns:a16="http://schemas.microsoft.com/office/drawing/2014/main" xmlns="" id="{71A7B295-EF1A-4AEA-BEA8-1481781F67D3}"/>
            </a:ext>
          </a:extLst>
        </xdr:cNvPr>
        <xdr:cNvPicPr>
          <a:picLocks noChangeAspect="1"/>
        </xdr:cNvPicPr>
      </xdr:nvPicPr>
      <xdr:blipFill rotWithShape="1">
        <a:blip xmlns:r="http://schemas.openxmlformats.org/officeDocument/2006/relationships" r:embed="rId1"/>
        <a:srcRect l="31761" t="12780" r="32557" b="5544"/>
        <a:stretch/>
      </xdr:blipFill>
      <xdr:spPr>
        <a:xfrm>
          <a:off x="9981142725" y="76200"/>
          <a:ext cx="6543675" cy="924613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609600</xdr:colOff>
      <xdr:row>0</xdr:row>
      <xdr:rowOff>104775</xdr:rowOff>
    </xdr:from>
    <xdr:to>
      <xdr:col>7</xdr:col>
      <xdr:colOff>1329600</xdr:colOff>
      <xdr:row>2</xdr:row>
      <xdr:rowOff>138975</xdr:rowOff>
    </xdr:to>
    <xdr:pic>
      <xdr:nvPicPr>
        <xdr:cNvPr id="3" name="Picture 2">
          <a:extLst>
            <a:ext uri="{FF2B5EF4-FFF2-40B4-BE49-F238E27FC236}">
              <a16:creationId xmlns:a16="http://schemas.microsoft.com/office/drawing/2014/main" xmlns="" id="{00000000-0008-0000-3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61125" y="104775"/>
          <a:ext cx="720000" cy="7200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xdr:row>
      <xdr:rowOff>66675</xdr:rowOff>
    </xdr:from>
    <xdr:to>
      <xdr:col>13</xdr:col>
      <xdr:colOff>523875</xdr:colOff>
      <xdr:row>35</xdr:row>
      <xdr:rowOff>95250</xdr:rowOff>
    </xdr:to>
    <xdr:graphicFrame macro="">
      <xdr:nvGraphicFramePr>
        <xdr:cNvPr id="4" name="Chart 4">
          <a:extLst>
            <a:ext uri="{FF2B5EF4-FFF2-40B4-BE49-F238E27FC236}">
              <a16:creationId xmlns:a16="http://schemas.microsoft.com/office/drawing/2014/main" xmlns=""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291352</xdr:colOff>
      <xdr:row>0</xdr:row>
      <xdr:rowOff>246530</xdr:rowOff>
    </xdr:from>
    <xdr:to>
      <xdr:col>13</xdr:col>
      <xdr:colOff>406235</xdr:colOff>
      <xdr:row>2</xdr:row>
      <xdr:rowOff>137295</xdr:rowOff>
    </xdr:to>
    <xdr:pic>
      <xdr:nvPicPr>
        <xdr:cNvPr id="5" name="Picture 4">
          <a:extLst>
            <a:ext uri="{FF2B5EF4-FFF2-40B4-BE49-F238E27FC236}">
              <a16:creationId xmlns:a16="http://schemas.microsoft.com/office/drawing/2014/main" xmlns="" id="{00000000-0008-0000-3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05974765" y="246530"/>
          <a:ext cx="720000" cy="720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8</xdr:col>
      <xdr:colOff>1028700</xdr:colOff>
      <xdr:row>0</xdr:row>
      <xdr:rowOff>76200</xdr:rowOff>
    </xdr:from>
    <xdr:to>
      <xdr:col>8</xdr:col>
      <xdr:colOff>1748700</xdr:colOff>
      <xdr:row>3</xdr:row>
      <xdr:rowOff>91350</xdr:rowOff>
    </xdr:to>
    <xdr:pic>
      <xdr:nvPicPr>
        <xdr:cNvPr id="3" name="Picture 2">
          <a:extLst>
            <a:ext uri="{FF2B5EF4-FFF2-40B4-BE49-F238E27FC236}">
              <a16:creationId xmlns:a16="http://schemas.microsoft.com/office/drawing/2014/main" xmlns="" id="{00000000-0008-0000-3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76200"/>
          <a:ext cx="720000" cy="7200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180975</xdr:colOff>
      <xdr:row>0</xdr:row>
      <xdr:rowOff>47625</xdr:rowOff>
    </xdr:from>
    <xdr:to>
      <xdr:col>12</xdr:col>
      <xdr:colOff>495300</xdr:colOff>
      <xdr:row>32</xdr:row>
      <xdr:rowOff>47625</xdr:rowOff>
    </xdr:to>
    <xdr:graphicFrame macro="">
      <xdr:nvGraphicFramePr>
        <xdr:cNvPr id="4" name="Chart 4">
          <a:extLst>
            <a:ext uri="{FF2B5EF4-FFF2-40B4-BE49-F238E27FC236}">
              <a16:creationId xmlns:a16="http://schemas.microsoft.com/office/drawing/2014/main" xmlns="" id="{00000000-0008-0000-3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228600</xdr:colOff>
      <xdr:row>0</xdr:row>
      <xdr:rowOff>152400</xdr:rowOff>
    </xdr:from>
    <xdr:to>
      <xdr:col>12</xdr:col>
      <xdr:colOff>339000</xdr:colOff>
      <xdr:row>5</xdr:row>
      <xdr:rowOff>62775</xdr:rowOff>
    </xdr:to>
    <xdr:pic>
      <xdr:nvPicPr>
        <xdr:cNvPr id="5" name="Picture 4">
          <a:extLst>
            <a:ext uri="{FF2B5EF4-FFF2-40B4-BE49-F238E27FC236}">
              <a16:creationId xmlns:a16="http://schemas.microsoft.com/office/drawing/2014/main" xmlns="" id="{00000000-0008-0000-3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032200" y="152400"/>
          <a:ext cx="720000" cy="7200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381000</xdr:colOff>
      <xdr:row>0</xdr:row>
      <xdr:rowOff>28576</xdr:rowOff>
    </xdr:from>
    <xdr:to>
      <xdr:col>12</xdr:col>
      <xdr:colOff>561975</xdr:colOff>
      <xdr:row>30</xdr:row>
      <xdr:rowOff>85726</xdr:rowOff>
    </xdr:to>
    <xdr:graphicFrame macro="">
      <xdr:nvGraphicFramePr>
        <xdr:cNvPr id="4" name="Chart 4">
          <a:extLst>
            <a:ext uri="{FF2B5EF4-FFF2-40B4-BE49-F238E27FC236}">
              <a16:creationId xmlns:a16="http://schemas.microsoft.com/office/drawing/2014/main" xmlns=""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342900</xdr:colOff>
      <xdr:row>0</xdr:row>
      <xdr:rowOff>142875</xdr:rowOff>
    </xdr:from>
    <xdr:to>
      <xdr:col>12</xdr:col>
      <xdr:colOff>453300</xdr:colOff>
      <xdr:row>5</xdr:row>
      <xdr:rowOff>53250</xdr:rowOff>
    </xdr:to>
    <xdr:pic>
      <xdr:nvPicPr>
        <xdr:cNvPr id="5" name="Picture 4">
          <a:extLst>
            <a:ext uri="{FF2B5EF4-FFF2-40B4-BE49-F238E27FC236}">
              <a16:creationId xmlns:a16="http://schemas.microsoft.com/office/drawing/2014/main" xmlns="" id="{00000000-0008-0000-3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17900" y="142875"/>
          <a:ext cx="720000" cy="7200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8</xdr:col>
      <xdr:colOff>1009650</xdr:colOff>
      <xdr:row>0</xdr:row>
      <xdr:rowOff>85725</xdr:rowOff>
    </xdr:from>
    <xdr:to>
      <xdr:col>8</xdr:col>
      <xdr:colOff>1729650</xdr:colOff>
      <xdr:row>3</xdr:row>
      <xdr:rowOff>100875</xdr:rowOff>
    </xdr:to>
    <xdr:pic>
      <xdr:nvPicPr>
        <xdr:cNvPr id="3" name="Picture 2">
          <a:extLst>
            <a:ext uri="{FF2B5EF4-FFF2-40B4-BE49-F238E27FC236}">
              <a16:creationId xmlns:a16="http://schemas.microsoft.com/office/drawing/2014/main" xmlns="" id="{00000000-0008-0000-4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85725"/>
          <a:ext cx="720000" cy="7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695325</xdr:colOff>
      <xdr:row>0</xdr:row>
      <xdr:rowOff>76200</xdr:rowOff>
    </xdr:from>
    <xdr:to>
      <xdr:col>5</xdr:col>
      <xdr:colOff>1415325</xdr:colOff>
      <xdr:row>3</xdr:row>
      <xdr:rowOff>167550</xdr:rowOff>
    </xdr:to>
    <xdr:pic>
      <xdr:nvPicPr>
        <xdr:cNvPr id="4" name="Picture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56525" y="76200"/>
          <a:ext cx="720000" cy="7200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8</xdr:col>
      <xdr:colOff>1009650</xdr:colOff>
      <xdr:row>0</xdr:row>
      <xdr:rowOff>123825</xdr:rowOff>
    </xdr:from>
    <xdr:to>
      <xdr:col>8</xdr:col>
      <xdr:colOff>1729650</xdr:colOff>
      <xdr:row>3</xdr:row>
      <xdr:rowOff>138975</xdr:rowOff>
    </xdr:to>
    <xdr:pic>
      <xdr:nvPicPr>
        <xdr:cNvPr id="3" name="Picture 2">
          <a:extLst>
            <a:ext uri="{FF2B5EF4-FFF2-40B4-BE49-F238E27FC236}">
              <a16:creationId xmlns:a16="http://schemas.microsoft.com/office/drawing/2014/main" xmlns="" id="{00000000-0008-0000-4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123825"/>
          <a:ext cx="720000" cy="7200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8</xdr:col>
      <xdr:colOff>971550</xdr:colOff>
      <xdr:row>0</xdr:row>
      <xdr:rowOff>123825</xdr:rowOff>
    </xdr:from>
    <xdr:to>
      <xdr:col>8</xdr:col>
      <xdr:colOff>1691550</xdr:colOff>
      <xdr:row>3</xdr:row>
      <xdr:rowOff>138975</xdr:rowOff>
    </xdr:to>
    <xdr:pic>
      <xdr:nvPicPr>
        <xdr:cNvPr id="3" name="Picture 2">
          <a:extLst>
            <a:ext uri="{FF2B5EF4-FFF2-40B4-BE49-F238E27FC236}">
              <a16:creationId xmlns:a16="http://schemas.microsoft.com/office/drawing/2014/main" xmlns="" id="{00000000-0008-0000-4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318200" y="123825"/>
          <a:ext cx="720000" cy="7200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8</xdr:col>
      <xdr:colOff>504825</xdr:colOff>
      <xdr:row>0</xdr:row>
      <xdr:rowOff>133350</xdr:rowOff>
    </xdr:from>
    <xdr:to>
      <xdr:col>8</xdr:col>
      <xdr:colOff>1224825</xdr:colOff>
      <xdr:row>3</xdr:row>
      <xdr:rowOff>148500</xdr:rowOff>
    </xdr:to>
    <xdr:pic>
      <xdr:nvPicPr>
        <xdr:cNvPr id="3" name="Picture 2">
          <a:extLst>
            <a:ext uri="{FF2B5EF4-FFF2-40B4-BE49-F238E27FC236}">
              <a16:creationId xmlns:a16="http://schemas.microsoft.com/office/drawing/2014/main" xmlns="" id="{00000000-0008-0000-4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9625" y="133350"/>
          <a:ext cx="720000" cy="7200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8</xdr:col>
      <xdr:colOff>514350</xdr:colOff>
      <xdr:row>0</xdr:row>
      <xdr:rowOff>114300</xdr:rowOff>
    </xdr:from>
    <xdr:to>
      <xdr:col>8</xdr:col>
      <xdr:colOff>1234350</xdr:colOff>
      <xdr:row>3</xdr:row>
      <xdr:rowOff>129450</xdr:rowOff>
    </xdr:to>
    <xdr:pic>
      <xdr:nvPicPr>
        <xdr:cNvPr id="3" name="Picture 2">
          <a:extLst>
            <a:ext uri="{FF2B5EF4-FFF2-40B4-BE49-F238E27FC236}">
              <a16:creationId xmlns:a16="http://schemas.microsoft.com/office/drawing/2014/main" xmlns="" id="{00000000-0008-0000-4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114300"/>
          <a:ext cx="720000" cy="7200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8</xdr:col>
      <xdr:colOff>504825</xdr:colOff>
      <xdr:row>0</xdr:row>
      <xdr:rowOff>114300</xdr:rowOff>
    </xdr:from>
    <xdr:to>
      <xdr:col>8</xdr:col>
      <xdr:colOff>1224825</xdr:colOff>
      <xdr:row>3</xdr:row>
      <xdr:rowOff>129450</xdr:rowOff>
    </xdr:to>
    <xdr:pic>
      <xdr:nvPicPr>
        <xdr:cNvPr id="3" name="Picture 2">
          <a:extLst>
            <a:ext uri="{FF2B5EF4-FFF2-40B4-BE49-F238E27FC236}">
              <a16:creationId xmlns:a16="http://schemas.microsoft.com/office/drawing/2014/main" xmlns="" id="{00000000-0008-0000-4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9625" y="114300"/>
          <a:ext cx="720000" cy="7200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838200</xdr:colOff>
      <xdr:row>0</xdr:row>
      <xdr:rowOff>76200</xdr:rowOff>
    </xdr:from>
    <xdr:to>
      <xdr:col>10</xdr:col>
      <xdr:colOff>1558200</xdr:colOff>
      <xdr:row>3</xdr:row>
      <xdr:rowOff>62775</xdr:rowOff>
    </xdr:to>
    <xdr:pic>
      <xdr:nvPicPr>
        <xdr:cNvPr id="3" name="Picture 2">
          <a:extLst>
            <a:ext uri="{FF2B5EF4-FFF2-40B4-BE49-F238E27FC236}">
              <a16:creationId xmlns:a16="http://schemas.microsoft.com/office/drawing/2014/main" xmlns="" id="{00000000-0008-0000-4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070425" y="76200"/>
          <a:ext cx="720000" cy="7200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781050</xdr:colOff>
      <xdr:row>0</xdr:row>
      <xdr:rowOff>95250</xdr:rowOff>
    </xdr:from>
    <xdr:to>
      <xdr:col>8</xdr:col>
      <xdr:colOff>1501050</xdr:colOff>
      <xdr:row>3</xdr:row>
      <xdr:rowOff>110400</xdr:rowOff>
    </xdr:to>
    <xdr:pic>
      <xdr:nvPicPr>
        <xdr:cNvPr id="3" name="Picture 2">
          <a:extLst>
            <a:ext uri="{FF2B5EF4-FFF2-40B4-BE49-F238E27FC236}">
              <a16:creationId xmlns:a16="http://schemas.microsoft.com/office/drawing/2014/main" xmlns="" id="{00000000-0008-0000-4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70575" y="95250"/>
          <a:ext cx="720000" cy="7200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8</xdr:col>
      <xdr:colOff>781050</xdr:colOff>
      <xdr:row>0</xdr:row>
      <xdr:rowOff>114300</xdr:rowOff>
    </xdr:from>
    <xdr:to>
      <xdr:col>8</xdr:col>
      <xdr:colOff>1501050</xdr:colOff>
      <xdr:row>3</xdr:row>
      <xdr:rowOff>129450</xdr:rowOff>
    </xdr:to>
    <xdr:pic>
      <xdr:nvPicPr>
        <xdr:cNvPr id="3" name="Picture 2">
          <a:extLst>
            <a:ext uri="{FF2B5EF4-FFF2-40B4-BE49-F238E27FC236}">
              <a16:creationId xmlns:a16="http://schemas.microsoft.com/office/drawing/2014/main" xmlns="" id="{00000000-0008-0000-4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70575" y="114300"/>
          <a:ext cx="720000" cy="7200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752475</xdr:colOff>
      <xdr:row>0</xdr:row>
      <xdr:rowOff>95250</xdr:rowOff>
    </xdr:from>
    <xdr:to>
      <xdr:col>8</xdr:col>
      <xdr:colOff>1472475</xdr:colOff>
      <xdr:row>3</xdr:row>
      <xdr:rowOff>110400</xdr:rowOff>
    </xdr:to>
    <xdr:pic>
      <xdr:nvPicPr>
        <xdr:cNvPr id="3" name="Picture 2">
          <a:extLst>
            <a:ext uri="{FF2B5EF4-FFF2-40B4-BE49-F238E27FC236}">
              <a16:creationId xmlns:a16="http://schemas.microsoft.com/office/drawing/2014/main" xmlns="" id="{00000000-0008-0000-4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99150" y="95250"/>
          <a:ext cx="720000" cy="7200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13</xdr:col>
      <xdr:colOff>438150</xdr:colOff>
      <xdr:row>0</xdr:row>
      <xdr:rowOff>95250</xdr:rowOff>
    </xdr:from>
    <xdr:to>
      <xdr:col>13</xdr:col>
      <xdr:colOff>1158150</xdr:colOff>
      <xdr:row>2</xdr:row>
      <xdr:rowOff>110400</xdr:rowOff>
    </xdr:to>
    <xdr:pic>
      <xdr:nvPicPr>
        <xdr:cNvPr id="3" name="Picture 2">
          <a:extLst>
            <a:ext uri="{FF2B5EF4-FFF2-40B4-BE49-F238E27FC236}">
              <a16:creationId xmlns:a16="http://schemas.microsoft.com/office/drawing/2014/main" xmlns="" id="{00000000-0008-0000-4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03525" y="95250"/>
          <a:ext cx="720000"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xdr:row>
      <xdr:rowOff>133350</xdr:rowOff>
    </xdr:from>
    <xdr:to>
      <xdr:col>12</xdr:col>
      <xdr:colOff>523875</xdr:colOff>
      <xdr:row>34</xdr:row>
      <xdr:rowOff>19050</xdr:rowOff>
    </xdr:to>
    <xdr:graphicFrame macro="">
      <xdr:nvGraphicFramePr>
        <xdr:cNvPr id="4" name="Chart 4">
          <a:extLst>
            <a:ext uri="{FF2B5EF4-FFF2-40B4-BE49-F238E27FC236}">
              <a16:creationId xmlns:a16="http://schemas.microsoft.com/office/drawing/2014/main" xmlns=""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371475</xdr:colOff>
      <xdr:row>0</xdr:row>
      <xdr:rowOff>66675</xdr:rowOff>
    </xdr:from>
    <xdr:to>
      <xdr:col>12</xdr:col>
      <xdr:colOff>481875</xdr:colOff>
      <xdr:row>3</xdr:row>
      <xdr:rowOff>5625</xdr:rowOff>
    </xdr:to>
    <xdr:pic>
      <xdr:nvPicPr>
        <xdr:cNvPr id="3" name="Picture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89325" y="66675"/>
          <a:ext cx="720000" cy="7200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8</xdr:col>
      <xdr:colOff>552450</xdr:colOff>
      <xdr:row>0</xdr:row>
      <xdr:rowOff>123825</xdr:rowOff>
    </xdr:from>
    <xdr:to>
      <xdr:col>8</xdr:col>
      <xdr:colOff>1272450</xdr:colOff>
      <xdr:row>3</xdr:row>
      <xdr:rowOff>138975</xdr:rowOff>
    </xdr:to>
    <xdr:pic>
      <xdr:nvPicPr>
        <xdr:cNvPr id="3" name="Picture 2">
          <a:extLst>
            <a:ext uri="{FF2B5EF4-FFF2-40B4-BE49-F238E27FC236}">
              <a16:creationId xmlns:a16="http://schemas.microsoft.com/office/drawing/2014/main" xmlns="" id="{00000000-0008-0000-4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123825"/>
          <a:ext cx="720000" cy="7200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8</xdr:col>
      <xdr:colOff>552450</xdr:colOff>
      <xdr:row>0</xdr:row>
      <xdr:rowOff>95250</xdr:rowOff>
    </xdr:from>
    <xdr:to>
      <xdr:col>8</xdr:col>
      <xdr:colOff>1272450</xdr:colOff>
      <xdr:row>3</xdr:row>
      <xdr:rowOff>110400</xdr:rowOff>
    </xdr:to>
    <xdr:pic>
      <xdr:nvPicPr>
        <xdr:cNvPr id="3" name="Picture 2">
          <a:extLst>
            <a:ext uri="{FF2B5EF4-FFF2-40B4-BE49-F238E27FC236}">
              <a16:creationId xmlns:a16="http://schemas.microsoft.com/office/drawing/2014/main" xmlns="" id="{00000000-0008-0000-4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95250"/>
          <a:ext cx="720000" cy="7200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533400</xdr:colOff>
      <xdr:row>0</xdr:row>
      <xdr:rowOff>95250</xdr:rowOff>
    </xdr:from>
    <xdr:to>
      <xdr:col>8</xdr:col>
      <xdr:colOff>1253400</xdr:colOff>
      <xdr:row>3</xdr:row>
      <xdr:rowOff>110400</xdr:rowOff>
    </xdr:to>
    <xdr:pic>
      <xdr:nvPicPr>
        <xdr:cNvPr id="3" name="Picture 2">
          <a:extLst>
            <a:ext uri="{FF2B5EF4-FFF2-40B4-BE49-F238E27FC236}">
              <a16:creationId xmlns:a16="http://schemas.microsoft.com/office/drawing/2014/main" xmlns="" id="{00000000-0008-0000-4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99150" y="95250"/>
          <a:ext cx="720000" cy="7200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14</xdr:col>
      <xdr:colOff>457200</xdr:colOff>
      <xdr:row>0</xdr:row>
      <xdr:rowOff>114300</xdr:rowOff>
    </xdr:from>
    <xdr:to>
      <xdr:col>14</xdr:col>
      <xdr:colOff>1177200</xdr:colOff>
      <xdr:row>3</xdr:row>
      <xdr:rowOff>129450</xdr:rowOff>
    </xdr:to>
    <xdr:pic>
      <xdr:nvPicPr>
        <xdr:cNvPr id="3" name="Picture 2">
          <a:extLst>
            <a:ext uri="{FF2B5EF4-FFF2-40B4-BE49-F238E27FC236}">
              <a16:creationId xmlns:a16="http://schemas.microsoft.com/office/drawing/2014/main" xmlns="" id="{00000000-0008-0000-4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22500" y="114300"/>
          <a:ext cx="720000" cy="7200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14</xdr:col>
      <xdr:colOff>447675</xdr:colOff>
      <xdr:row>0</xdr:row>
      <xdr:rowOff>85725</xdr:rowOff>
    </xdr:from>
    <xdr:to>
      <xdr:col>14</xdr:col>
      <xdr:colOff>1167675</xdr:colOff>
      <xdr:row>3</xdr:row>
      <xdr:rowOff>100875</xdr:rowOff>
    </xdr:to>
    <xdr:pic>
      <xdr:nvPicPr>
        <xdr:cNvPr id="3" name="Picture 2">
          <a:extLst>
            <a:ext uri="{FF2B5EF4-FFF2-40B4-BE49-F238E27FC236}">
              <a16:creationId xmlns:a16="http://schemas.microsoft.com/office/drawing/2014/main" xmlns="" id="{00000000-0008-0000-4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32025" y="85725"/>
          <a:ext cx="720000" cy="7200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14</xdr:col>
      <xdr:colOff>457200</xdr:colOff>
      <xdr:row>0</xdr:row>
      <xdr:rowOff>114300</xdr:rowOff>
    </xdr:from>
    <xdr:to>
      <xdr:col>14</xdr:col>
      <xdr:colOff>1177200</xdr:colOff>
      <xdr:row>3</xdr:row>
      <xdr:rowOff>129450</xdr:rowOff>
    </xdr:to>
    <xdr:pic>
      <xdr:nvPicPr>
        <xdr:cNvPr id="3" name="Picture 2">
          <a:extLst>
            <a:ext uri="{FF2B5EF4-FFF2-40B4-BE49-F238E27FC236}">
              <a16:creationId xmlns:a16="http://schemas.microsoft.com/office/drawing/2014/main" xmlns="" id="{00000000-0008-0000-5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22500" y="114300"/>
          <a:ext cx="720000" cy="7200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14</xdr:col>
      <xdr:colOff>476250</xdr:colOff>
      <xdr:row>0</xdr:row>
      <xdr:rowOff>104775</xdr:rowOff>
    </xdr:from>
    <xdr:to>
      <xdr:col>14</xdr:col>
      <xdr:colOff>1196250</xdr:colOff>
      <xdr:row>3</xdr:row>
      <xdr:rowOff>119925</xdr:rowOff>
    </xdr:to>
    <xdr:pic>
      <xdr:nvPicPr>
        <xdr:cNvPr id="3" name="Picture 2">
          <a:extLst>
            <a:ext uri="{FF2B5EF4-FFF2-40B4-BE49-F238E27FC236}">
              <a16:creationId xmlns:a16="http://schemas.microsoft.com/office/drawing/2014/main" xmlns="" id="{00000000-0008-0000-5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03450" y="104775"/>
          <a:ext cx="720000" cy="7200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14</xdr:col>
      <xdr:colOff>447675</xdr:colOff>
      <xdr:row>0</xdr:row>
      <xdr:rowOff>95250</xdr:rowOff>
    </xdr:from>
    <xdr:to>
      <xdr:col>14</xdr:col>
      <xdr:colOff>1167675</xdr:colOff>
      <xdr:row>3</xdr:row>
      <xdr:rowOff>110400</xdr:rowOff>
    </xdr:to>
    <xdr:pic>
      <xdr:nvPicPr>
        <xdr:cNvPr id="3" name="Picture 2">
          <a:extLst>
            <a:ext uri="{FF2B5EF4-FFF2-40B4-BE49-F238E27FC236}">
              <a16:creationId xmlns:a16="http://schemas.microsoft.com/office/drawing/2014/main" xmlns="" id="{00000000-0008-0000-5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32025" y="95250"/>
          <a:ext cx="720000" cy="7200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14</xdr:col>
      <xdr:colOff>476250</xdr:colOff>
      <xdr:row>0</xdr:row>
      <xdr:rowOff>66675</xdr:rowOff>
    </xdr:from>
    <xdr:to>
      <xdr:col>14</xdr:col>
      <xdr:colOff>1196250</xdr:colOff>
      <xdr:row>3</xdr:row>
      <xdr:rowOff>81825</xdr:rowOff>
    </xdr:to>
    <xdr:pic>
      <xdr:nvPicPr>
        <xdr:cNvPr id="3" name="Picture 2">
          <a:extLst>
            <a:ext uri="{FF2B5EF4-FFF2-40B4-BE49-F238E27FC236}">
              <a16:creationId xmlns:a16="http://schemas.microsoft.com/office/drawing/2014/main" xmlns="" id="{00000000-0008-0000-5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03450" y="66675"/>
          <a:ext cx="720000" cy="7200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13</xdr:col>
      <xdr:colOff>495300</xdr:colOff>
      <xdr:row>0</xdr:row>
      <xdr:rowOff>85725</xdr:rowOff>
    </xdr:from>
    <xdr:to>
      <xdr:col>13</xdr:col>
      <xdr:colOff>1215300</xdr:colOff>
      <xdr:row>3</xdr:row>
      <xdr:rowOff>100875</xdr:rowOff>
    </xdr:to>
    <xdr:pic>
      <xdr:nvPicPr>
        <xdr:cNvPr id="3" name="Picture 2">
          <a:extLst>
            <a:ext uri="{FF2B5EF4-FFF2-40B4-BE49-F238E27FC236}">
              <a16:creationId xmlns:a16="http://schemas.microsoft.com/office/drawing/2014/main" xmlns="" id="{00000000-0008-0000-5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32100" y="85725"/>
          <a:ext cx="720000" cy="7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714375</xdr:colOff>
      <xdr:row>0</xdr:row>
      <xdr:rowOff>76200</xdr:rowOff>
    </xdr:from>
    <xdr:to>
      <xdr:col>5</xdr:col>
      <xdr:colOff>1434375</xdr:colOff>
      <xdr:row>3</xdr:row>
      <xdr:rowOff>167550</xdr:rowOff>
    </xdr:to>
    <xdr:pic>
      <xdr:nvPicPr>
        <xdr:cNvPr id="4" name="Picture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37475" y="76200"/>
          <a:ext cx="720000" cy="72000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13</xdr:col>
      <xdr:colOff>485775</xdr:colOff>
      <xdr:row>0</xdr:row>
      <xdr:rowOff>123825</xdr:rowOff>
    </xdr:from>
    <xdr:to>
      <xdr:col>13</xdr:col>
      <xdr:colOff>1205775</xdr:colOff>
      <xdr:row>3</xdr:row>
      <xdr:rowOff>138975</xdr:rowOff>
    </xdr:to>
    <xdr:pic>
      <xdr:nvPicPr>
        <xdr:cNvPr id="3" name="Picture 2">
          <a:extLst>
            <a:ext uri="{FF2B5EF4-FFF2-40B4-BE49-F238E27FC236}">
              <a16:creationId xmlns:a16="http://schemas.microsoft.com/office/drawing/2014/main" xmlns="" id="{00000000-0008-0000-5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41625" y="123825"/>
          <a:ext cx="720000" cy="7200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13</xdr:col>
      <xdr:colOff>504825</xdr:colOff>
      <xdr:row>0</xdr:row>
      <xdr:rowOff>104775</xdr:rowOff>
    </xdr:from>
    <xdr:to>
      <xdr:col>13</xdr:col>
      <xdr:colOff>1224825</xdr:colOff>
      <xdr:row>3</xdr:row>
      <xdr:rowOff>119925</xdr:rowOff>
    </xdr:to>
    <xdr:pic>
      <xdr:nvPicPr>
        <xdr:cNvPr id="3" name="Picture 2">
          <a:extLst>
            <a:ext uri="{FF2B5EF4-FFF2-40B4-BE49-F238E27FC236}">
              <a16:creationId xmlns:a16="http://schemas.microsoft.com/office/drawing/2014/main" xmlns="" id="{00000000-0008-0000-5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22575" y="104775"/>
          <a:ext cx="720000" cy="7200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16</xdr:col>
      <xdr:colOff>571500</xdr:colOff>
      <xdr:row>0</xdr:row>
      <xdr:rowOff>85725</xdr:rowOff>
    </xdr:from>
    <xdr:to>
      <xdr:col>16</xdr:col>
      <xdr:colOff>1291500</xdr:colOff>
      <xdr:row>3</xdr:row>
      <xdr:rowOff>100875</xdr:rowOff>
    </xdr:to>
    <xdr:pic>
      <xdr:nvPicPr>
        <xdr:cNvPr id="3" name="Picture 2">
          <a:extLst>
            <a:ext uri="{FF2B5EF4-FFF2-40B4-BE49-F238E27FC236}">
              <a16:creationId xmlns:a16="http://schemas.microsoft.com/office/drawing/2014/main" xmlns="" id="{00000000-0008-0000-5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7403300" y="85725"/>
          <a:ext cx="720000" cy="7200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13</xdr:col>
      <xdr:colOff>657225</xdr:colOff>
      <xdr:row>0</xdr:row>
      <xdr:rowOff>28575</xdr:rowOff>
    </xdr:from>
    <xdr:to>
      <xdr:col>13</xdr:col>
      <xdr:colOff>1377225</xdr:colOff>
      <xdr:row>3</xdr:row>
      <xdr:rowOff>43725</xdr:rowOff>
    </xdr:to>
    <xdr:pic>
      <xdr:nvPicPr>
        <xdr:cNvPr id="3" name="Picture 2">
          <a:extLst>
            <a:ext uri="{FF2B5EF4-FFF2-40B4-BE49-F238E27FC236}">
              <a16:creationId xmlns:a16="http://schemas.microsoft.com/office/drawing/2014/main" xmlns="" id="{00000000-0008-0000-5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03525" y="28575"/>
          <a:ext cx="720000" cy="7200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9</xdr:col>
      <xdr:colOff>1358175</xdr:colOff>
      <xdr:row>3</xdr:row>
      <xdr:rowOff>100875</xdr:rowOff>
    </xdr:to>
    <xdr:pic>
      <xdr:nvPicPr>
        <xdr:cNvPr id="3" name="Picture 2">
          <a:extLst>
            <a:ext uri="{FF2B5EF4-FFF2-40B4-BE49-F238E27FC236}">
              <a16:creationId xmlns:a16="http://schemas.microsoft.com/office/drawing/2014/main" xmlns="" id="{00000000-0008-0000-5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727650" y="85725"/>
          <a:ext cx="720000" cy="7200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123825</xdr:colOff>
      <xdr:row>2</xdr:row>
      <xdr:rowOff>0</xdr:rowOff>
    </xdr:from>
    <xdr:to>
      <xdr:col>13</xdr:col>
      <xdr:colOff>342900</xdr:colOff>
      <xdr:row>34</xdr:row>
      <xdr:rowOff>28575</xdr:rowOff>
    </xdr:to>
    <xdr:graphicFrame macro="">
      <xdr:nvGraphicFramePr>
        <xdr:cNvPr id="4" name="Chart 4">
          <a:extLst>
            <a:ext uri="{FF2B5EF4-FFF2-40B4-BE49-F238E27FC236}">
              <a16:creationId xmlns:a16="http://schemas.microsoft.com/office/drawing/2014/main" xmlns="" id="{00000000-0008-0000-5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247650</xdr:colOff>
      <xdr:row>0</xdr:row>
      <xdr:rowOff>257175</xdr:rowOff>
    </xdr:from>
    <xdr:to>
      <xdr:col>13</xdr:col>
      <xdr:colOff>358050</xdr:colOff>
      <xdr:row>3</xdr:row>
      <xdr:rowOff>129450</xdr:rowOff>
    </xdr:to>
    <xdr:pic>
      <xdr:nvPicPr>
        <xdr:cNvPr id="5" name="Picture 4">
          <a:extLst>
            <a:ext uri="{FF2B5EF4-FFF2-40B4-BE49-F238E27FC236}">
              <a16:creationId xmlns:a16="http://schemas.microsoft.com/office/drawing/2014/main" xmlns="" id="{00000000-0008-0000-5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403550" y="257175"/>
          <a:ext cx="720000" cy="7200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13</xdr:col>
      <xdr:colOff>590550</xdr:colOff>
      <xdr:row>0</xdr:row>
      <xdr:rowOff>76200</xdr:rowOff>
    </xdr:from>
    <xdr:to>
      <xdr:col>13</xdr:col>
      <xdr:colOff>1310550</xdr:colOff>
      <xdr:row>3</xdr:row>
      <xdr:rowOff>91350</xdr:rowOff>
    </xdr:to>
    <xdr:pic>
      <xdr:nvPicPr>
        <xdr:cNvPr id="3" name="Picture 2">
          <a:extLst>
            <a:ext uri="{FF2B5EF4-FFF2-40B4-BE49-F238E27FC236}">
              <a16:creationId xmlns:a16="http://schemas.microsoft.com/office/drawing/2014/main" xmlns="" id="{00000000-0008-0000-5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60675" y="76200"/>
          <a:ext cx="720000" cy="7200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11</xdr:col>
      <xdr:colOff>723900</xdr:colOff>
      <xdr:row>0</xdr:row>
      <xdr:rowOff>133350</xdr:rowOff>
    </xdr:from>
    <xdr:to>
      <xdr:col>11</xdr:col>
      <xdr:colOff>1443900</xdr:colOff>
      <xdr:row>3</xdr:row>
      <xdr:rowOff>119925</xdr:rowOff>
    </xdr:to>
    <xdr:pic>
      <xdr:nvPicPr>
        <xdr:cNvPr id="3" name="Picture 2">
          <a:extLst>
            <a:ext uri="{FF2B5EF4-FFF2-40B4-BE49-F238E27FC236}">
              <a16:creationId xmlns:a16="http://schemas.microsoft.com/office/drawing/2014/main" xmlns="" id="{00000000-0008-0000-5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508450" y="133350"/>
          <a:ext cx="720000" cy="7200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11</xdr:col>
      <xdr:colOff>762000</xdr:colOff>
      <xdr:row>0</xdr:row>
      <xdr:rowOff>66675</xdr:rowOff>
    </xdr:from>
    <xdr:to>
      <xdr:col>11</xdr:col>
      <xdr:colOff>1482000</xdr:colOff>
      <xdr:row>3</xdr:row>
      <xdr:rowOff>53250</xdr:rowOff>
    </xdr:to>
    <xdr:pic>
      <xdr:nvPicPr>
        <xdr:cNvPr id="3" name="Picture 2">
          <a:extLst>
            <a:ext uri="{FF2B5EF4-FFF2-40B4-BE49-F238E27FC236}">
              <a16:creationId xmlns:a16="http://schemas.microsoft.com/office/drawing/2014/main" xmlns="" id="{00000000-0008-0000-5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0350" y="66675"/>
          <a:ext cx="720000" cy="7200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11</xdr:col>
      <xdr:colOff>752475</xdr:colOff>
      <xdr:row>0</xdr:row>
      <xdr:rowOff>133350</xdr:rowOff>
    </xdr:from>
    <xdr:to>
      <xdr:col>11</xdr:col>
      <xdr:colOff>1472475</xdr:colOff>
      <xdr:row>3</xdr:row>
      <xdr:rowOff>119925</xdr:rowOff>
    </xdr:to>
    <xdr:pic>
      <xdr:nvPicPr>
        <xdr:cNvPr id="3" name="Picture 2">
          <a:extLst>
            <a:ext uri="{FF2B5EF4-FFF2-40B4-BE49-F238E27FC236}">
              <a16:creationId xmlns:a16="http://schemas.microsoft.com/office/drawing/2014/main" xmlns="" id="{00000000-0008-0000-5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9875" y="133350"/>
          <a:ext cx="720000" cy="7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1</xdr:row>
      <xdr:rowOff>85725</xdr:rowOff>
    </xdr:from>
    <xdr:to>
      <xdr:col>12</xdr:col>
      <xdr:colOff>571500</xdr:colOff>
      <xdr:row>32</xdr:row>
      <xdr:rowOff>66675</xdr:rowOff>
    </xdr:to>
    <xdr:graphicFrame macro="">
      <xdr:nvGraphicFramePr>
        <xdr:cNvPr id="4" name="Chart 4">
          <a:extLst>
            <a:ext uri="{FF2B5EF4-FFF2-40B4-BE49-F238E27FC236}">
              <a16:creationId xmlns:a16="http://schemas.microsoft.com/office/drawing/2014/main" xmlns=""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409575</xdr:colOff>
      <xdr:row>0</xdr:row>
      <xdr:rowOff>95250</xdr:rowOff>
    </xdr:from>
    <xdr:to>
      <xdr:col>12</xdr:col>
      <xdr:colOff>519975</xdr:colOff>
      <xdr:row>3</xdr:row>
      <xdr:rowOff>72300</xdr:rowOff>
    </xdr:to>
    <xdr:pic>
      <xdr:nvPicPr>
        <xdr:cNvPr id="6" name="Picture 5">
          <a:extLst>
            <a:ext uri="{FF2B5EF4-FFF2-40B4-BE49-F238E27FC236}">
              <a16:creationId xmlns:a16="http://schemas.microsoft.com/office/drawing/2014/main" xmlns="" id="{00000000-0008-0000-0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51225" y="95250"/>
          <a:ext cx="720000" cy="72000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47625</xdr:colOff>
      <xdr:row>0</xdr:row>
      <xdr:rowOff>47625</xdr:rowOff>
    </xdr:from>
    <xdr:to>
      <xdr:col>13</xdr:col>
      <xdr:colOff>600075</xdr:colOff>
      <xdr:row>33</xdr:row>
      <xdr:rowOff>123825</xdr:rowOff>
    </xdr:to>
    <xdr:graphicFrame macro="">
      <xdr:nvGraphicFramePr>
        <xdr:cNvPr id="4" name="Chart 4">
          <a:extLst>
            <a:ext uri="{FF2B5EF4-FFF2-40B4-BE49-F238E27FC236}">
              <a16:creationId xmlns:a16="http://schemas.microsoft.com/office/drawing/2014/main" xmlns="" id="{00000000-0008-0000-5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361950</xdr:colOff>
      <xdr:row>0</xdr:row>
      <xdr:rowOff>85725</xdr:rowOff>
    </xdr:from>
    <xdr:to>
      <xdr:col>13</xdr:col>
      <xdr:colOff>472350</xdr:colOff>
      <xdr:row>4</xdr:row>
      <xdr:rowOff>158025</xdr:rowOff>
    </xdr:to>
    <xdr:pic>
      <xdr:nvPicPr>
        <xdr:cNvPr id="5" name="Picture 4">
          <a:extLst>
            <a:ext uri="{FF2B5EF4-FFF2-40B4-BE49-F238E27FC236}">
              <a16:creationId xmlns:a16="http://schemas.microsoft.com/office/drawing/2014/main" xmlns="" id="{00000000-0008-0000-5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89250" y="85725"/>
          <a:ext cx="720000" cy="7200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11</xdr:col>
      <xdr:colOff>723900</xdr:colOff>
      <xdr:row>0</xdr:row>
      <xdr:rowOff>85725</xdr:rowOff>
    </xdr:from>
    <xdr:to>
      <xdr:col>11</xdr:col>
      <xdr:colOff>1443900</xdr:colOff>
      <xdr:row>3</xdr:row>
      <xdr:rowOff>72300</xdr:rowOff>
    </xdr:to>
    <xdr:pic>
      <xdr:nvPicPr>
        <xdr:cNvPr id="3" name="Picture 2">
          <a:extLst>
            <a:ext uri="{FF2B5EF4-FFF2-40B4-BE49-F238E27FC236}">
              <a16:creationId xmlns:a16="http://schemas.microsoft.com/office/drawing/2014/main" xmlns="" id="{00000000-0008-0000-6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508450" y="85725"/>
          <a:ext cx="720000" cy="7200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11</xdr:col>
      <xdr:colOff>733425</xdr:colOff>
      <xdr:row>0</xdr:row>
      <xdr:rowOff>133350</xdr:rowOff>
    </xdr:from>
    <xdr:to>
      <xdr:col>11</xdr:col>
      <xdr:colOff>1453425</xdr:colOff>
      <xdr:row>3</xdr:row>
      <xdr:rowOff>119925</xdr:rowOff>
    </xdr:to>
    <xdr:pic>
      <xdr:nvPicPr>
        <xdr:cNvPr id="3" name="Picture 2">
          <a:extLst>
            <a:ext uri="{FF2B5EF4-FFF2-40B4-BE49-F238E27FC236}">
              <a16:creationId xmlns:a16="http://schemas.microsoft.com/office/drawing/2014/main" xmlns="" id="{00000000-0008-0000-6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98925" y="133350"/>
          <a:ext cx="720000" cy="7200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11</xdr:col>
      <xdr:colOff>723900</xdr:colOff>
      <xdr:row>0</xdr:row>
      <xdr:rowOff>114300</xdr:rowOff>
    </xdr:from>
    <xdr:to>
      <xdr:col>11</xdr:col>
      <xdr:colOff>1443900</xdr:colOff>
      <xdr:row>3</xdr:row>
      <xdr:rowOff>100875</xdr:rowOff>
    </xdr:to>
    <xdr:pic>
      <xdr:nvPicPr>
        <xdr:cNvPr id="3" name="Picture 2">
          <a:extLst>
            <a:ext uri="{FF2B5EF4-FFF2-40B4-BE49-F238E27FC236}">
              <a16:creationId xmlns:a16="http://schemas.microsoft.com/office/drawing/2014/main" xmlns="" id="{00000000-0008-0000-6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508450" y="114300"/>
          <a:ext cx="720000" cy="7200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14</xdr:col>
      <xdr:colOff>1008529</xdr:colOff>
      <xdr:row>0</xdr:row>
      <xdr:rowOff>89647</xdr:rowOff>
    </xdr:from>
    <xdr:to>
      <xdr:col>14</xdr:col>
      <xdr:colOff>1728529</xdr:colOff>
      <xdr:row>3</xdr:row>
      <xdr:rowOff>182118</xdr:rowOff>
    </xdr:to>
    <xdr:pic>
      <xdr:nvPicPr>
        <xdr:cNvPr id="3" name="Picture 2">
          <a:extLst>
            <a:ext uri="{FF2B5EF4-FFF2-40B4-BE49-F238E27FC236}">
              <a16:creationId xmlns:a16="http://schemas.microsoft.com/office/drawing/2014/main" xmlns="" id="{00000000-0008-0000-6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5302412" y="89647"/>
          <a:ext cx="720000" cy="7200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14</xdr:col>
      <xdr:colOff>1019735</xdr:colOff>
      <xdr:row>0</xdr:row>
      <xdr:rowOff>112059</xdr:rowOff>
    </xdr:from>
    <xdr:to>
      <xdr:col>14</xdr:col>
      <xdr:colOff>1739735</xdr:colOff>
      <xdr:row>4</xdr:row>
      <xdr:rowOff>2824</xdr:rowOff>
    </xdr:to>
    <xdr:pic>
      <xdr:nvPicPr>
        <xdr:cNvPr id="3" name="Picture 2">
          <a:extLst>
            <a:ext uri="{FF2B5EF4-FFF2-40B4-BE49-F238E27FC236}">
              <a16:creationId xmlns:a16="http://schemas.microsoft.com/office/drawing/2014/main" xmlns="" id="{00000000-0008-0000-6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5291206" y="112059"/>
          <a:ext cx="720000" cy="7200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14</xdr:col>
      <xdr:colOff>1053353</xdr:colOff>
      <xdr:row>0</xdr:row>
      <xdr:rowOff>134470</xdr:rowOff>
    </xdr:from>
    <xdr:to>
      <xdr:col>14</xdr:col>
      <xdr:colOff>1773353</xdr:colOff>
      <xdr:row>4</xdr:row>
      <xdr:rowOff>25235</xdr:rowOff>
    </xdr:to>
    <xdr:pic>
      <xdr:nvPicPr>
        <xdr:cNvPr id="3" name="Picture 2">
          <a:extLst>
            <a:ext uri="{FF2B5EF4-FFF2-40B4-BE49-F238E27FC236}">
              <a16:creationId xmlns:a16="http://schemas.microsoft.com/office/drawing/2014/main" xmlns="" id="{00000000-0008-0000-6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5257588" y="134470"/>
          <a:ext cx="720000" cy="7200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66675</xdr:colOff>
      <xdr:row>1</xdr:row>
      <xdr:rowOff>19051</xdr:rowOff>
    </xdr:from>
    <xdr:to>
      <xdr:col>13</xdr:col>
      <xdr:colOff>476250</xdr:colOff>
      <xdr:row>35</xdr:row>
      <xdr:rowOff>19051</xdr:rowOff>
    </xdr:to>
    <xdr:graphicFrame macro="">
      <xdr:nvGraphicFramePr>
        <xdr:cNvPr id="4" name="Chart 4">
          <a:extLst>
            <a:ext uri="{FF2B5EF4-FFF2-40B4-BE49-F238E27FC236}">
              <a16:creationId xmlns:a16="http://schemas.microsoft.com/office/drawing/2014/main" xmlns="" id="{00000000-0008-0000-6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257175</xdr:colOff>
      <xdr:row>0</xdr:row>
      <xdr:rowOff>114300</xdr:rowOff>
    </xdr:from>
    <xdr:to>
      <xdr:col>12</xdr:col>
      <xdr:colOff>367575</xdr:colOff>
      <xdr:row>5</xdr:row>
      <xdr:rowOff>24675</xdr:rowOff>
    </xdr:to>
    <xdr:pic>
      <xdr:nvPicPr>
        <xdr:cNvPr id="5" name="Picture 4">
          <a:extLst>
            <a:ext uri="{FF2B5EF4-FFF2-40B4-BE49-F238E27FC236}">
              <a16:creationId xmlns:a16="http://schemas.microsoft.com/office/drawing/2014/main" xmlns="" id="{00000000-0008-0000-6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003625" y="114300"/>
          <a:ext cx="720000" cy="7200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21</xdr:col>
      <xdr:colOff>552450</xdr:colOff>
      <xdr:row>0</xdr:row>
      <xdr:rowOff>133350</xdr:rowOff>
    </xdr:from>
    <xdr:to>
      <xdr:col>21</xdr:col>
      <xdr:colOff>1272450</xdr:colOff>
      <xdr:row>3</xdr:row>
      <xdr:rowOff>148500</xdr:rowOff>
    </xdr:to>
    <xdr:pic>
      <xdr:nvPicPr>
        <xdr:cNvPr id="3" name="Picture 2">
          <a:extLst>
            <a:ext uri="{FF2B5EF4-FFF2-40B4-BE49-F238E27FC236}">
              <a16:creationId xmlns:a16="http://schemas.microsoft.com/office/drawing/2014/main" xmlns="" id="{00000000-0008-0000-6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4355300" y="133350"/>
          <a:ext cx="720000" cy="7200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76200</xdr:colOff>
      <xdr:row>0</xdr:row>
      <xdr:rowOff>114300</xdr:rowOff>
    </xdr:from>
    <xdr:to>
      <xdr:col>13</xdr:col>
      <xdr:colOff>504825</xdr:colOff>
      <xdr:row>35</xdr:row>
      <xdr:rowOff>9525</xdr:rowOff>
    </xdr:to>
    <xdr:graphicFrame macro="">
      <xdr:nvGraphicFramePr>
        <xdr:cNvPr id="4" name="Chart 4">
          <a:extLst>
            <a:ext uri="{FF2B5EF4-FFF2-40B4-BE49-F238E27FC236}">
              <a16:creationId xmlns:a16="http://schemas.microsoft.com/office/drawing/2014/main" xmlns="" id="{00000000-0008-0000-6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352425</xdr:colOff>
      <xdr:row>0</xdr:row>
      <xdr:rowOff>104775</xdr:rowOff>
    </xdr:from>
    <xdr:to>
      <xdr:col>13</xdr:col>
      <xdr:colOff>462825</xdr:colOff>
      <xdr:row>5</xdr:row>
      <xdr:rowOff>15150</xdr:rowOff>
    </xdr:to>
    <xdr:pic>
      <xdr:nvPicPr>
        <xdr:cNvPr id="5" name="Picture 4">
          <a:extLst>
            <a:ext uri="{FF2B5EF4-FFF2-40B4-BE49-F238E27FC236}">
              <a16:creationId xmlns:a16="http://schemas.microsoft.com/office/drawing/2014/main" xmlns="" id="{00000000-0008-0000-6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98775" y="104775"/>
          <a:ext cx="720000" cy="72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youssef\Desktop\&#1575;&#1604;&#1586;&#1608;&#1575;&#1580;%20&#1608;&#1575;&#1604;&#1591;&#1604;&#1575;&#1602;%202019%20&#1606;&#1587;&#1582;&#1577;%20&#1575;&#1604;&#1605;&#1606;&#1589;&#1608;&#1585;&#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
      <sheetName val="Cont."/>
      <sheetName val="ConT.GR"/>
      <sheetName val="-"/>
      <sheetName val="Pref."/>
      <sheetName val="Def."/>
      <sheetName val="المؤشرات"/>
      <sheetName val="FIRST"/>
      <sheetName val="1"/>
      <sheetName val="GR-1"/>
      <sheetName val="2"/>
      <sheetName val="3"/>
      <sheetName val="GR-2"/>
      <sheetName val="4"/>
      <sheetName val="GR-3"/>
      <sheetName val="5"/>
      <sheetName val="GR-4"/>
      <sheetName val="6"/>
      <sheetName val="GR-5"/>
      <sheetName val="7"/>
      <sheetName val="8"/>
      <sheetName val="GR-6"/>
      <sheetName val="9"/>
      <sheetName val="10"/>
      <sheetName val="11-1"/>
      <sheetName val="11-2"/>
      <sheetName val="11-3"/>
      <sheetName val="12-1"/>
      <sheetName val="12-2"/>
      <sheetName val="12-3"/>
      <sheetName val="13-1"/>
      <sheetName val="13-2"/>
      <sheetName val="13-3"/>
      <sheetName val="14-1"/>
      <sheetName val="14-2"/>
      <sheetName val="14-3"/>
      <sheetName val="15-1"/>
      <sheetName val="15-2"/>
      <sheetName val="15-3"/>
      <sheetName val="16-1"/>
      <sheetName val="16-2"/>
      <sheetName val="16-3"/>
      <sheetName val="GR-7"/>
      <sheetName val="17-1"/>
      <sheetName val="17-2"/>
      <sheetName val="17-3"/>
      <sheetName val="GR-8 "/>
      <sheetName val="18-1"/>
      <sheetName val="18-2"/>
      <sheetName val="18-3"/>
      <sheetName val="19"/>
      <sheetName val="20"/>
      <sheetName val="GR9"/>
      <sheetName val="SECOND"/>
      <sheetName val="21"/>
      <sheetName val="GR-10"/>
      <sheetName val="22"/>
      <sheetName val="GR11"/>
      <sheetName val="23"/>
      <sheetName val="GR12"/>
      <sheetName val="24"/>
      <sheetName val="GR13"/>
      <sheetName val="GR14"/>
      <sheetName val="25-1"/>
      <sheetName val="25-2"/>
      <sheetName val="25-3"/>
      <sheetName val="26-1"/>
      <sheetName val="26-2"/>
      <sheetName val="26-3"/>
      <sheetName val="27"/>
      <sheetName val="28.1"/>
      <sheetName val="28.2"/>
      <sheetName val="28.3"/>
      <sheetName val="29"/>
      <sheetName val="30.1"/>
      <sheetName val="30.2"/>
      <sheetName val="30.3"/>
      <sheetName val="31.1"/>
      <sheetName val="31.2"/>
      <sheetName val="31.3"/>
      <sheetName val="32.1"/>
      <sheetName val="32.2"/>
      <sheetName val="32.3"/>
      <sheetName val="33.1"/>
      <sheetName val="33.2"/>
      <sheetName val="33.3"/>
      <sheetName val="34"/>
      <sheetName val="35"/>
      <sheetName val="36"/>
      <sheetName val="GR15"/>
      <sheetName val="37"/>
      <sheetName val="38.1"/>
      <sheetName val="38.2"/>
      <sheetName val="38.3"/>
      <sheetName val="GR16"/>
      <sheetName val="39.1"/>
      <sheetName val="39.2"/>
      <sheetName val="39.3"/>
      <sheetName val="40.1"/>
      <sheetName val="40.2"/>
      <sheetName val="40.3"/>
      <sheetName val="GR17"/>
      <sheetName val="41.1"/>
      <sheetName val="GR18"/>
      <sheetName val="41.2"/>
      <sheetName val="GR19"/>
      <sheetName val="41.3"/>
      <sheetName val="GR20"/>
      <sheetName val="42-1"/>
      <sheetName val="GR21"/>
      <sheetName val="42-2"/>
      <sheetName val="GR22"/>
      <sheetName val="42-3"/>
      <sheetName val="GR23"/>
      <sheetName val="43-1"/>
      <sheetName val="43-2"/>
      <sheetName val="43-3"/>
      <sheetName val="44"/>
      <sheetName val="GR24"/>
      <sheetName val="45"/>
      <sheetName val="46"/>
      <sheetName val="47"/>
      <sheetName val="الملاحق"/>
      <sheetName val="الزواج Marriage"/>
      <sheetName val="الطلاق Divo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Set>
  </externalBook>
</externalLink>
</file>

<file path=xl/queryTables/queryTable1.xml><?xml version="1.0" encoding="utf-8"?>
<queryTable xmlns="http://schemas.openxmlformats.org/spreadsheetml/2006/main" name="(Default) XLS_TAB_1" headers="0" backgroundRefresh="0" growShrinkType="overwriteClear" adjustColumnWidth="0" connectionId="1" autoFormatId="16" applyNumberFormats="0" applyBorderFormats="0" applyFontFormats="0" applyPatternFormats="0" applyAlignmentFormats="0" applyWidthHeightFormats="0">
  <queryTableRefresh headersInLastRefresh="0" nextId="15">
    <queryTableFields count="14">
      <queryTableField id="1" name="YEAR_AR" tableColumnId="253"/>
      <queryTableField id="2" dataBound="0" tableColumnId="254"/>
      <queryTableField id="3" dataBound="0" tableColumnId="255"/>
      <queryTableField id="4" dataBound="0" tableColumnId="256"/>
      <queryTableField id="5" dataBound="0" tableColumnId="257"/>
      <queryTableField id="6" dataBound="0" tableColumnId="258"/>
      <queryTableField id="7" dataBound="0" tableColumnId="259"/>
      <queryTableField id="8" dataBound="0" tableColumnId="260"/>
      <queryTableField id="9" dataBound="0" tableColumnId="261"/>
      <queryTableField id="10" dataBound="0" tableColumnId="262"/>
      <queryTableField id="11" dataBound="0" tableColumnId="263"/>
      <queryTableField id="12" dataBound="0" tableColumnId="264"/>
      <queryTableField id="13" dataBound="0" tableColumnId="265"/>
      <queryTableField id="14" name="YEAR_ENG" tableColumnId="266"/>
    </queryTableFields>
    <queryTableDeletedFields count="12">
      <deletedField name="M_QTRI_COUNT"/>
      <deletedField name="M_QTRI_PSG"/>
      <deletedField name="M_NQTRI_COUNT"/>
      <deletedField name="M_NQTRI_PSG"/>
      <deletedField name="M_QTRI_TOT_COUNT"/>
      <deletedField name="M_QTRI_TOT_PSG"/>
      <deletedField name="D_QTRI_COUNT"/>
      <deletedField name="D_QTRI_PSG"/>
      <deletedField name="D_NQTRI_COUNT"/>
      <deletedField name="D_NQTRI_PSG"/>
      <deletedField name="D_QTRI_TOT_COUNT"/>
      <deletedField name="D_QTRI_TOT_PSG"/>
    </queryTableDeletedFields>
  </queryTableRefresh>
</queryTable>
</file>

<file path=xl/queryTables/queryTable10.xml><?xml version="1.0" encoding="utf-8"?>
<queryTable xmlns="http://schemas.openxmlformats.org/spreadsheetml/2006/main" name="(Default) XLS_TAB_12_1" headers="0" backgroundRefresh="0" growShrinkType="overwriteClear" adjustColumnWidth="0" connectionId="6"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1.xml><?xml version="1.0" encoding="utf-8"?>
<queryTable xmlns="http://schemas.openxmlformats.org/spreadsheetml/2006/main" name="(Default) XLS_TAB_12_2" headers="0" backgroundRefresh="0" growShrinkType="overwriteClear" adjustColumnWidth="0" connectionId="7"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2.xml><?xml version="1.0" encoding="utf-8"?>
<queryTable xmlns="http://schemas.openxmlformats.org/spreadsheetml/2006/main" name="(Default) XLS_TAB_12_3" headers="0" backgroundRefresh="0" growShrinkType="overwriteClear" adjustColumnWidth="0" connectionId="8"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3.xml><?xml version="1.0" encoding="utf-8"?>
<queryTable xmlns="http://schemas.openxmlformats.org/spreadsheetml/2006/main" name="(Default) XLS_TAB_13_1" headers="0" backgroundRefresh="0" growShrinkType="overwriteClear" adjustColumnWidth="0" connectionId="9"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4.xml><?xml version="1.0" encoding="utf-8"?>
<queryTable xmlns="http://schemas.openxmlformats.org/spreadsheetml/2006/main" name="(Default) XLS_TAB_13_2" headers="0" backgroundRefresh="0" growShrinkType="overwriteClear" adjustColumnWidth="0" connectionId="10"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5.xml><?xml version="1.0" encoding="utf-8"?>
<queryTable xmlns="http://schemas.openxmlformats.org/spreadsheetml/2006/main" name="(Default) XLS_TAB_13_3" headers="0" backgroundRefresh="0" growShrinkType="overwriteClear" adjustColumnWidth="0" connectionId="11"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6.xml><?xml version="1.0" encoding="utf-8"?>
<queryTable xmlns="http://schemas.openxmlformats.org/spreadsheetml/2006/main" name="(Default) XLS_TAB_14_1" headers="0" backgroundRefresh="0" growShrinkType="overwriteClear" adjustColumnWidth="0" connectionId="12"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17.xml><?xml version="1.0" encoding="utf-8"?>
<queryTable xmlns="http://schemas.openxmlformats.org/spreadsheetml/2006/main" name="(Default) XLS_TAB_14_2" headers="0" backgroundRefresh="0" growShrinkType="overwriteClear" adjustColumnWidth="0" connectionId="13"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18.xml><?xml version="1.0" encoding="utf-8"?>
<queryTable xmlns="http://schemas.openxmlformats.org/spreadsheetml/2006/main" name="(Default) XLS_TAB_14_3" headers="0" backgroundRefresh="0" growShrinkType="overwriteClear" adjustColumnWidth="0" connectionId="14"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19.xml><?xml version="1.0" encoding="utf-8"?>
<queryTable xmlns="http://schemas.openxmlformats.org/spreadsheetml/2006/main" name="(Default) XLS_TAB_15_1" headers="0" backgroundRefresh="0" growShrinkType="overwriteClear" adjustColumnWidth="0" connectionId="15"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xml><?xml version="1.0" encoding="utf-8"?>
<queryTable xmlns="http://schemas.openxmlformats.org/spreadsheetml/2006/main" name="(Default) XLS_TAB_2" headers="0" backgroundRefresh="0" growShrinkType="overwriteClear" adjustColumnWidth="0" connectionId="28" autoFormatId="16" applyNumberFormats="0" applyBorderFormats="0" applyFontFormats="0" applyPatternFormats="0" applyAlignmentFormats="0" applyWidthHeightFormats="0">
  <queryTableRefresh headersInLastRefresh="0" nextId="15">
    <queryTableFields count="14">
      <queryTableField id="1" name="YEAR_AR" tableColumnId="1"/>
      <queryTableField id="2" name="M_QTRI_COUNT" tableColumnId="2"/>
      <queryTableField id="3" name="M_NQTRI_COUNT" tableColumnId="3"/>
      <queryTableField id="4" name="M_QTRI_TOT_COUNT" tableColumnId="4"/>
      <queryTableField id="5" name="M_QTRI_W_COUNT" tableColumnId="5"/>
      <queryTableField id="6" name="M_NQTRI_W_COUNT" tableColumnId="6"/>
      <queryTableField id="7" name="M_QTRI_TOT_COUNT" tableColumnId="7"/>
      <queryTableField id="8" name="D_QTRI_COUNT" tableColumnId="8"/>
      <queryTableField id="9" name="D_NQTRI_COUNT" tableColumnId="9"/>
      <queryTableField id="10" name="D_QTRI_TOT_COUNT" tableColumnId="10"/>
      <queryTableField id="11" name="D_QTRI_W_COUNT" tableColumnId="11"/>
      <queryTableField id="12" name="D_NQTRI_W_COUNT" tableColumnId="12"/>
      <queryTableField id="13" name="D_QTRI_TOT_COUNT" tableColumnId="13"/>
      <queryTableField id="14" name="YEAR_ENG" tableColumnId="14"/>
    </queryTableFields>
  </queryTableRefresh>
</queryTable>
</file>

<file path=xl/queryTables/queryTable20.xml><?xml version="1.0" encoding="utf-8"?>
<queryTable xmlns="http://schemas.openxmlformats.org/spreadsheetml/2006/main" name="(Default) XLS_TAB_15_2" headers="0" backgroundRefresh="0" growShrinkType="overwriteClear" adjustColumnWidth="0" connectionId="16"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1.xml><?xml version="1.0" encoding="utf-8"?>
<queryTable xmlns="http://schemas.openxmlformats.org/spreadsheetml/2006/main" name="(Default) XLS_TAB_15_3" headers="0" backgroundRefresh="0" growShrinkType="overwriteClear" adjustColumnWidth="0" connectionId="17"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2.xml><?xml version="1.0" encoding="utf-8"?>
<queryTable xmlns="http://schemas.openxmlformats.org/spreadsheetml/2006/main" name="(Default) XLS_TAB_16_1" headers="0" backgroundRefresh="0" growShrinkType="overwriteClear" adjustColumnWidth="0" connectionId="18"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3.xml><?xml version="1.0" encoding="utf-8"?>
<queryTable xmlns="http://schemas.openxmlformats.org/spreadsheetml/2006/main" name="(Default) XLS_TAB_16_2" headers="0" backgroundRefresh="0" growShrinkType="overwriteClear" adjustColumnWidth="0" connectionId="19"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4.xml><?xml version="1.0" encoding="utf-8"?>
<queryTable xmlns="http://schemas.openxmlformats.org/spreadsheetml/2006/main" name="(Default) XLS_TAB_16_3" headers="0" backgroundRefresh="0" growShrinkType="overwriteClear" adjustColumnWidth="0" connectionId="20"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5.xml><?xml version="1.0" encoding="utf-8"?>
<queryTable xmlns="http://schemas.openxmlformats.org/spreadsheetml/2006/main" name="(Default) XLS_TAB_17_1" headers="0" backgroundRefresh="0" growShrinkType="overwriteClear" adjustColumnWidth="0" connectionId="21"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6.xml><?xml version="1.0" encoding="utf-8"?>
<queryTable xmlns="http://schemas.openxmlformats.org/spreadsheetml/2006/main" name="(Default) XLS_TAB_17_2" headers="0" backgroundRefresh="0" growShrinkType="overwriteClear" adjustColumnWidth="0" connectionId="22"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7.xml><?xml version="1.0" encoding="utf-8"?>
<queryTable xmlns="http://schemas.openxmlformats.org/spreadsheetml/2006/main" name="(Default) XLS_TAB_17_3" headers="0" backgroundRefresh="0" growShrinkType="overwriteClear" adjustColumnWidth="0" connectionId="23"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8.xml><?xml version="1.0" encoding="utf-8"?>
<queryTable xmlns="http://schemas.openxmlformats.org/spreadsheetml/2006/main" name="(Default) XLS_TAB_18_1" headers="0" backgroundRefresh="0" growShrinkType="overwriteClear" adjustColumnWidth="0" connectionId="24"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29.xml><?xml version="1.0" encoding="utf-8"?>
<queryTable xmlns="http://schemas.openxmlformats.org/spreadsheetml/2006/main" name="(Default) XLS_TAB_18_2" headers="0" backgroundRefresh="0" growShrinkType="overwriteClear" adjustColumnWidth="0" connectionId="25"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xml><?xml version="1.0" encoding="utf-8"?>
<queryTable xmlns="http://schemas.openxmlformats.org/spreadsheetml/2006/main" name="(Default) XLS_TAB_7" headers="0" backgroundRefresh="0" growShrinkType="overwriteClear" adjustColumnWidth="0" connectionId="78" autoFormatId="16" applyNumberFormats="0" applyBorderFormats="0" applyFontFormats="0" applyPatternFormats="0" applyAlignmentFormats="0" applyWidthHeightFormats="0">
  <queryTableRefresh headersInLastRefresh="0" nextId="7">
    <queryTableFields count="6">
      <queryTableField id="1" name="M_QTRI_COUNT" tableColumnId="1"/>
      <queryTableField id="2" name="M_NQTRI_COUNT" tableColumnId="2"/>
      <queryTableField id="3" name="M_QTRI_TOT_COUNT" tableColumnId="3"/>
      <queryTableField id="4" name="W_QTRI_COUNT" tableColumnId="4"/>
      <queryTableField id="5" name="W_NQTRI_COUNT" tableColumnId="5"/>
      <queryTableField id="6" name="W_QTRI_TOT_COUNT" tableColumnId="6"/>
    </queryTableFields>
  </queryTableRefresh>
</queryTable>
</file>

<file path=xl/queryTables/queryTable30.xml><?xml version="1.0" encoding="utf-8"?>
<queryTable xmlns="http://schemas.openxmlformats.org/spreadsheetml/2006/main" name="(Default) XLS_TAB_18_3" headers="0" backgroundRefresh="0" growShrinkType="overwriteClear" adjustColumnWidth="0" connectionId="26"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1.xml><?xml version="1.0" encoding="utf-8"?>
<queryTable xmlns="http://schemas.openxmlformats.org/spreadsheetml/2006/main" name="(Default) XLS_TAB_19" headers="0" backgroundRefresh="0" growShrinkType="overwriteClear" adjustColumnWidth="0" connectionId="27" autoFormatId="16" applyNumberFormats="0" applyBorderFormats="0" applyFontFormats="0" applyPatternFormats="0" applyAlignmentFormats="0" applyWidthHeightFormats="0">
  <queryTableRefresh headersInLastRefresh="0" nextId="9">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Refresh>
</queryTable>
</file>

<file path=xl/queryTables/queryTable32.xml><?xml version="1.0" encoding="utf-8"?>
<queryTable xmlns="http://schemas.openxmlformats.org/spreadsheetml/2006/main" name="(Default) XLS_TAB_20" headers="0" backgroundRefresh="0" growShrinkType="overwriteClear" adjustColumnWidth="0" connectionId="29" autoFormatId="16" applyNumberFormats="0" applyBorderFormats="0" applyFontFormats="0" applyPatternFormats="0" applyAlignmentFormats="0" applyWidthHeightFormats="0">
  <queryTableRefresh headersInLastRefresh="0" nextId="9">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Refresh>
</queryTable>
</file>

<file path=xl/queryTables/queryTable33.xml><?xml version="1.0" encoding="utf-8"?>
<queryTable xmlns="http://schemas.openxmlformats.org/spreadsheetml/2006/main" name="(Default) XLS_TAB_23" headers="0" backgroundRefresh="0" growShrinkType="overwriteClear" adjustColumnWidth="0" connectionId="30" autoFormatId="16" applyNumberFormats="0" applyBorderFormats="0" applyFontFormats="0" applyPatternFormats="0" applyAlignmentFormats="0" applyWidthHeightFormats="0">
  <queryTableRefresh headersInLastRefresh="0" nextId="7">
    <queryTableFields count="6">
      <queryTableField id="1" name="M_QTRI_COUNT" tableColumnId="1"/>
      <queryTableField id="2" name="M_NQTRI_COUNT" tableColumnId="2"/>
      <queryTableField id="3" name="M_QTRI_TOT_COUNT" tableColumnId="3"/>
      <queryTableField id="4" name="W_QTRI_COUNT" tableColumnId="4"/>
      <queryTableField id="5" name="W_NQTRI_COUNT" tableColumnId="5"/>
      <queryTableField id="6" name="W_QTRI_TOT_COUNT" tableColumnId="6"/>
    </queryTableFields>
  </queryTableRefresh>
</queryTable>
</file>

<file path=xl/queryTables/queryTable34.xml><?xml version="1.0" encoding="utf-8"?>
<queryTable xmlns="http://schemas.openxmlformats.org/spreadsheetml/2006/main" name="(Default) XLS_TAB_24" headers="0" backgroundRefresh="0" growShrinkType="overwriteClear" adjustColumnWidth="0" connectionId="31"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5.xml><?xml version="1.0" encoding="utf-8"?>
<queryTable xmlns="http://schemas.openxmlformats.org/spreadsheetml/2006/main" name="(Default) XLS_TAB_25_1" headers="0" backgroundRefresh="0" growShrinkType="overwriteClear" adjustColumnWidth="0" connectionId="32"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6.xml><?xml version="1.0" encoding="utf-8"?>
<queryTable xmlns="http://schemas.openxmlformats.org/spreadsheetml/2006/main" name="(Default) XLS_TAB_25_2" headers="0" backgroundRefresh="0" growShrinkType="overwriteClear" adjustColumnWidth="0" connectionId="33"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7.xml><?xml version="1.0" encoding="utf-8"?>
<queryTable xmlns="http://schemas.openxmlformats.org/spreadsheetml/2006/main" name="(Default) XLS_TAB_25_3" headers="0" backgroundRefresh="0" growShrinkType="overwriteClear" adjustColumnWidth="0" connectionId="34"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8.xml><?xml version="1.0" encoding="utf-8"?>
<queryTable xmlns="http://schemas.openxmlformats.org/spreadsheetml/2006/main" name="(Default) XLS_TAB_26_2" headers="0" backgroundRefresh="0" growShrinkType="overwriteClear" adjustColumnWidth="0" connectionId="36"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9.xml><?xml version="1.0" encoding="utf-8"?>
<queryTable xmlns="http://schemas.openxmlformats.org/spreadsheetml/2006/main" name="(Default) XLS_TAB_26_2" headers="0" backgroundRefresh="0" growShrinkType="overwriteClear" adjustColumnWidth="0" connectionId="35"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xml><?xml version="1.0" encoding="utf-8"?>
<queryTable xmlns="http://schemas.openxmlformats.org/spreadsheetml/2006/main" name="(Default) XLS_TAB_8" headers="0" backgroundRefresh="0" growShrinkType="overwriteClear" adjustColumnWidth="0" connectionId="79" autoFormatId="16" applyNumberFormats="0" applyBorderFormats="0" applyFontFormats="0" applyPatternFormats="0" applyAlignmentFormats="0" applyWidthHeightFormats="0">
  <queryTableRefresh headersInLastRefresh="0" nextId="9">
    <queryTableFields count="7">
      <queryTableField id="1" name="QATAR" tableColumnId="1"/>
      <queryTableField id="2" name="OTHER_G_C_C_COUNTRIES" tableColumnId="2"/>
      <queryTableField id="3" name="OTHER_ARAB_COUNTRIES" tableColumnId="3"/>
      <queryTableField id="4" name="ASIAN_COUNTRIES" tableColumnId="4"/>
      <queryTableField id="5" name="EUROPEAN_COUNTRIES" tableColumnId="5"/>
      <queryTableField id="6" name="OTHER_COUNTRIES" tableColumnId="6"/>
      <queryTableField id="7" name="TOTAL" tableColumnId="7"/>
    </queryTableFields>
    <queryTableDeletedFields count="1">
      <deletedField name="ROW_ORDER"/>
    </queryTableDeletedFields>
  </queryTableRefresh>
</queryTable>
</file>

<file path=xl/queryTables/queryTable40.xml><?xml version="1.0" encoding="utf-8"?>
<queryTable xmlns="http://schemas.openxmlformats.org/spreadsheetml/2006/main" name="(Default) XLS_TAB_26_2" headers="0" backgroundRefresh="0" growShrinkType="overwriteClear" adjustColumnWidth="0" connectionId="37"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1.xml><?xml version="1.0" encoding="utf-8"?>
<queryTable xmlns="http://schemas.openxmlformats.org/spreadsheetml/2006/main" name="(Default) XLS_TAB_27_2" headers="0" backgroundRefresh="0" growShrinkType="overwriteClear" adjustColumnWidth="0" connectionId="40" autoFormatId="16" applyNumberFormats="0" applyBorderFormats="0" applyFontFormats="0" applyPatternFormats="0" applyAlignmentFormats="0" applyWidthHeightFormats="0">
  <queryTableRefresh headersInLastRefresh="0" nextId="7">
    <queryTableFields count="6">
      <queryTableField id="1" name="BAAN_SMALLER_CNT" tableColumnId="1"/>
      <queryTableField id="2" name="RAJEE_CNT" tableColumnId="2"/>
      <queryTableField id="3" name="KHULLA_CNT" tableColumnId="3"/>
      <queryTableField id="4" name="BAAN_GREATER_CNT" tableColumnId="4"/>
      <queryTableField id="6" dataBound="0" tableColumnId="6"/>
      <queryTableField id="5" name="TOTAL" tableColumnId="5"/>
    </queryTableFields>
  </queryTableRefresh>
</queryTable>
</file>

<file path=xl/queryTables/queryTable42.xml><?xml version="1.0" encoding="utf-8"?>
<queryTable xmlns="http://schemas.openxmlformats.org/spreadsheetml/2006/main" name="(Default) XLS_TAB_27_1" headers="0" backgroundRefresh="0" growShrinkType="overwriteClear" adjustColumnWidth="0" connectionId="38"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3.xml><?xml version="1.0" encoding="utf-8"?>
<queryTable xmlns="http://schemas.openxmlformats.org/spreadsheetml/2006/main" name="(Default) XLS_TAB_27_1" headers="0" backgroundRefresh="0" growShrinkType="overwriteClear" adjustColumnWidth="0" connectionId="39"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4.xml><?xml version="1.0" encoding="utf-8"?>
<queryTable xmlns="http://schemas.openxmlformats.org/spreadsheetml/2006/main" name="(Default) XLS_TAB_27_3" headers="0" backgroundRefresh="0" growShrinkType="overwriteClear" adjustColumnWidth="0" connectionId="42"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5.xml><?xml version="1.0" encoding="utf-8"?>
<queryTable xmlns="http://schemas.openxmlformats.org/spreadsheetml/2006/main" name="(Default) XLS_TAB_30_2" headers="0" backgroundRefresh="0" growShrinkType="overwriteClear" adjustColumnWidth="0" connectionId="46" autoFormatId="16" applyNumberFormats="0" applyBorderFormats="0" applyFontFormats="0" applyPatternFormats="0" applyAlignmentFormats="0" applyWidthHeightFormats="0">
  <queryTableRefresh headersInLastRefresh="0" nextId="15">
    <queryTableFields count="14">
      <queryTableField id="1" name="MARRD_PRD_HUSBD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name="MARRD_PRD_HUSBD_ENG" tableColumnId="14"/>
    </queryTableFields>
    <queryTableDeletedFields count="12">
      <deletedField name="CAT_1_HSB_CNT"/>
      <deletedField name="CAT_1_WFE_CNT"/>
      <deletedField name="CAT_2_HSB_CNT"/>
      <deletedField name="CAT_2_WFE_CNT"/>
      <deletedField name="CAT_3_HSB_CNT"/>
      <deletedField name="CAT_3_WFE_CNT"/>
      <deletedField name="CAT_4_HSB_CNT"/>
      <deletedField name="CAT_4_WFE_CNT"/>
      <deletedField name="TOT_HSB_CNT"/>
      <deletedField name="TOT_WFE_CNT"/>
      <deletedField name="TOT_NOTSTAT_CNT"/>
      <deletedField name="G_TOTAL"/>
    </queryTableDeletedFields>
  </queryTableRefresh>
</queryTable>
</file>

<file path=xl/queryTables/queryTable46.xml><?xml version="1.0" encoding="utf-8"?>
<queryTable xmlns="http://schemas.openxmlformats.org/spreadsheetml/2006/main" name="(Default) XLS_TAB_28_1" headers="0" backgroundRefresh="0" growShrinkType="overwriteClear" adjustColumnWidth="0" connectionId="43"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7.xml><?xml version="1.0" encoding="utf-8"?>
<queryTable xmlns="http://schemas.openxmlformats.org/spreadsheetml/2006/main" name="(Default) XLS_TAB_28_1" headers="0" backgroundRefresh="0" growShrinkType="overwriteClear" adjustColumnWidth="0" connectionId="44"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8.xml><?xml version="1.0" encoding="utf-8"?>
<queryTable xmlns="http://schemas.openxmlformats.org/spreadsheetml/2006/main" name="(Default) XLS_TAB_28_3" headers="0" backgroundRefresh="0" growShrinkType="overwriteClear" adjustColumnWidth="0" connectionId="45"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9.xml><?xml version="1.0" encoding="utf-8"?>
<queryTable xmlns="http://schemas.openxmlformats.org/spreadsheetml/2006/main" name="(Default) XLS_TAB_30_3" headers="0" backgroundRefresh="0" growShrinkType="overwriteClear" adjustColumnWidth="0" connectionId="49"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dataBound="0" tableColumnId="14"/>
      <queryTableField id="15" name="AGE_LEVEL_ENG" tableColumnId="15"/>
    </queryTableFields>
    <queryTableDeletedFields count="13">
      <deletedField name="B_CONS_CNT"/>
      <deletedField name="BELOW_1_CNT"/>
      <deletedField name="CNT_1"/>
      <deletedField name="CNT_2"/>
      <deletedField name="CNT_3"/>
      <deletedField name="CNT_4"/>
      <deletedField name="CNT_5_9"/>
      <deletedField name="CNT_10_14"/>
      <deletedField name="CNT_15_19"/>
      <deletedField name="CNT_20_24"/>
      <deletedField name="CNT_UP_25"/>
      <deletedField name="NOT_STATED"/>
      <deletedField name="TOTAL"/>
    </queryTableDeletedFields>
  </queryTableRefresh>
</queryTable>
</file>

<file path=xl/queryTables/queryTable5.xml><?xml version="1.0" encoding="utf-8"?>
<queryTable xmlns="http://schemas.openxmlformats.org/spreadsheetml/2006/main" name="(Default) XLS_TAB_9" headers="0" backgroundRefresh="0" growShrinkType="overwriteClear" adjustColumnWidth="0" connectionId="80" autoFormatId="16" applyNumberFormats="0" applyBorderFormats="0" applyFontFormats="0" applyPatternFormats="0" applyAlignmentFormats="0" applyWidthHeightFormats="0">
  <queryTableRefresh headersInLastRefresh="0" nextId="18">
    <queryTableFields count="17">
      <queryTableField id="1" name="NAT_DESC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60_64" tableColumnId="11"/>
      <queryTableField id="12" name="AGE_LEVEL_65_70" tableColumnId="12"/>
      <queryTableField id="13" name="AGE_LEVEL_70_74" tableColumnId="13"/>
      <queryTableField id="14" name="AGE_LEVEL_75" tableColumnId="14"/>
      <queryTableField id="15" name="AGE_LEVEL_NOT_STATED" tableColumnId="15"/>
      <queryTableField id="16" name="TOTAL" tableColumnId="16"/>
      <queryTableField id="17" name="NAT_DESC_ENG" tableColumnId="17"/>
    </queryTableFields>
  </queryTableRefresh>
</queryTable>
</file>

<file path=xl/queryTables/queryTable50.xml><?xml version="1.0" encoding="utf-8"?>
<queryTable xmlns="http://schemas.openxmlformats.org/spreadsheetml/2006/main" name="(Default) XLS_TAB_30_3" headers="0" backgroundRefresh="0" growShrinkType="overwriteClear" adjustColumnWidth="0" connectionId="48"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dataBound="0" tableColumnId="14"/>
      <queryTableField id="15" name="AGE_LEVEL_ENG" tableColumnId="15"/>
    </queryTableFields>
    <queryTableDeletedFields count="13">
      <deletedField name="B_CONS_CNT"/>
      <deletedField name="BELOW_1_CNT"/>
      <deletedField name="CNT_1"/>
      <deletedField name="CNT_2"/>
      <deletedField name="CNT_3"/>
      <deletedField name="CNT_4"/>
      <deletedField name="CNT_5_9"/>
      <deletedField name="CNT_10_14"/>
      <deletedField name="CNT_15_19"/>
      <deletedField name="CNT_20_24"/>
      <deletedField name="CNT_UP_25"/>
      <deletedField name="NOT_STATED"/>
      <deletedField name="TOTAL"/>
    </queryTableDeletedFields>
  </queryTableRefresh>
</queryTable>
</file>

<file path=xl/queryTables/queryTable51.xml><?xml version="1.0" encoding="utf-8"?>
<queryTable xmlns="http://schemas.openxmlformats.org/spreadsheetml/2006/main" name="(Default) XLS_TAB_30_3" headers="0" backgroundRefresh="0" growShrinkType="overwriteClear" adjustColumnWidth="0" connectionId="47"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dataBound="0" tableColumnId="14"/>
      <queryTableField id="15" name="AGE_LEVEL_ENG" tableColumnId="15"/>
    </queryTableFields>
    <queryTableDeletedFields count="13">
      <deletedField name="B_CONS_CNT"/>
      <deletedField name="BELOW_1_CNT"/>
      <deletedField name="CNT_1"/>
      <deletedField name="CNT_2"/>
      <deletedField name="CNT_3"/>
      <deletedField name="CNT_4"/>
      <deletedField name="CNT_5_9"/>
      <deletedField name="CNT_10_14"/>
      <deletedField name="CNT_15_19"/>
      <deletedField name="CNT_20_24"/>
      <deletedField name="CNT_UP_25"/>
      <deletedField name="NOT_STATED"/>
      <deletedField name="TOTAL"/>
    </queryTableDeletedFields>
  </queryTableRefresh>
</queryTable>
</file>

<file path=xl/queryTables/queryTable52.xml><?xml version="1.0" encoding="utf-8"?>
<queryTable xmlns="http://schemas.openxmlformats.org/spreadsheetml/2006/main" name="(Default) XLS_TAB_31_1" headers="0" backgroundRefresh="0" growShrinkType="overwriteClear" adjustColumnWidth="0" connectionId="50"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name="AGE_LEVEL_ENG" tableColumnId="14"/>
    </queryTableFields>
    <queryTableDeletedFields count="12">
      <deletedField name="CNT_BELOW_20"/>
      <deletedField name="CNT_20_24"/>
      <deletedField name="CNT_25_29"/>
      <deletedField name="CNT_30_34"/>
      <deletedField name="CNT_35_39"/>
      <deletedField name="CNT_40_44"/>
      <deletedField name="CNT_45_49"/>
      <deletedField name="CNT_50_54"/>
      <deletedField name="CNT_55_59"/>
      <deletedField name="CNT_UP_60"/>
      <deletedField name="NOT_STATED"/>
      <deletedField name="TOTAL"/>
    </queryTableDeletedFields>
  </queryTableRefresh>
</queryTable>
</file>

<file path=xl/queryTables/queryTable53.xml><?xml version="1.0" encoding="utf-8"?>
<queryTable xmlns="http://schemas.openxmlformats.org/spreadsheetml/2006/main" name="(Default) XLS_TAB_31_2" headers="0" backgroundRefresh="0" growShrinkType="overwriteClear" adjustColumnWidth="0" connectionId="51"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name="AGE_LEVEL_ENG" tableColumnId="14"/>
    </queryTableFields>
    <queryTableDeletedFields count="12">
      <deletedField name="CNT_BELOW_20"/>
      <deletedField name="CNT_20_24"/>
      <deletedField name="CNT_25_29"/>
      <deletedField name="CNT_30_34"/>
      <deletedField name="CNT_35_39"/>
      <deletedField name="CNT_40_44"/>
      <deletedField name="CNT_45_49"/>
      <deletedField name="CNT_50_54"/>
      <deletedField name="CNT_55_59"/>
      <deletedField name="CNT_UP_60"/>
      <deletedField name="NOT_STATED"/>
      <deletedField name="TOTAL"/>
    </queryTableDeletedFields>
  </queryTableRefresh>
</queryTable>
</file>

<file path=xl/queryTables/queryTable54.xml><?xml version="1.0" encoding="utf-8"?>
<queryTable xmlns="http://schemas.openxmlformats.org/spreadsheetml/2006/main" name="(Default) XLS_TAB_31_3" headers="0" backgroundRefresh="0" growShrinkType="overwriteClear" adjustColumnWidth="0" connectionId="52"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name="AGE_LEVEL_ENG" tableColumnId="14"/>
    </queryTableFields>
    <queryTableDeletedFields count="12">
      <deletedField name="CNT_BELOW_20"/>
      <deletedField name="CNT_20_24"/>
      <deletedField name="CNT_25_29"/>
      <deletedField name="CNT_30_34"/>
      <deletedField name="CNT_35_39"/>
      <deletedField name="CNT_40_44"/>
      <deletedField name="CNT_45_49"/>
      <deletedField name="CNT_50_54"/>
      <deletedField name="CNT_55_59"/>
      <deletedField name="CNT_UP_60"/>
      <deletedField name="NOT_STATED"/>
      <deletedField name="TOTAL"/>
    </queryTableDeletedFields>
  </queryTableRefresh>
</queryTable>
</file>

<file path=xl/queryTables/queryTable55.xml><?xml version="1.0" encoding="utf-8"?>
<queryTable xmlns="http://schemas.openxmlformats.org/spreadsheetml/2006/main" name="(Default) XLS_TAB_32" headers="0" backgroundRefresh="0" growShrinkType="overwriteClear" adjustColumnWidth="0" connectionId="53" autoFormatId="16" applyNumberFormats="0" applyBorderFormats="0" applyFontFormats="0" applyPatternFormats="0" applyAlignmentFormats="0" applyWidthHeightFormats="0">
  <queryTableRefresh headersInLastRefresh="0" nextId="18">
    <queryTableFields count="17">
      <queryTableField id="1" name="AREA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dataBound="0" tableColumnId="14"/>
      <queryTableField id="15" dataBound="0" tableColumnId="15"/>
      <queryTableField id="16" dataBound="0" tableColumnId="16"/>
      <queryTableField id="17" name="AREA_ENG" tableColumnId="17"/>
    </queryTableFields>
    <queryTableDeletedFields count="15">
      <deletedField name="CNT_BELOW_20"/>
      <deletedField name="CNT_20_24"/>
      <deletedField name="CNT_25_29"/>
      <deletedField name="CNT_30_34"/>
      <deletedField name="CNT_35_39"/>
      <deletedField name="CNT_40_44"/>
      <deletedField name="CNT_45_49"/>
      <deletedField name="CNT_50_54"/>
      <deletedField name="CNT_55_59"/>
      <deletedField name="CNT_60_64"/>
      <deletedField name="CNT_65_69"/>
      <deletedField name="CNT_70_74"/>
      <deletedField name="CNT_UP_75"/>
      <deletedField name="NOT_STATED"/>
      <deletedField name="TOTAL"/>
    </queryTableDeletedFields>
  </queryTableRefresh>
</queryTable>
</file>

<file path=xl/queryTables/queryTable56.xml><?xml version="1.0" encoding="utf-8"?>
<queryTable xmlns="http://schemas.openxmlformats.org/spreadsheetml/2006/main" name="(Default) XLS_TAB_33" headers="0" backgroundRefresh="0" growShrinkType="overwriteClear" adjustColumnWidth="0" connectionId="54" autoFormatId="16" applyNumberFormats="0" applyBorderFormats="0" applyFontFormats="0" applyPatternFormats="0" applyAlignmentFormats="0" applyWidthHeightFormats="0">
  <queryTableRefresh headersInLastRefresh="0" nextId="15">
    <queryTableFields count="14">
      <queryTableField id="1" name="AREA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name="AREA_ENG" tableColumnId="14"/>
    </queryTableFields>
    <queryTableDeletedFields count="12">
      <deletedField name="CNT_BELOW_20"/>
      <deletedField name="CNT_20_24"/>
      <deletedField name="CNT_25_29"/>
      <deletedField name="CNT_30_34"/>
      <deletedField name="CNT_35_39"/>
      <deletedField name="CNT_40_44"/>
      <deletedField name="CNT_45_49"/>
      <deletedField name="CNT_50_54"/>
      <deletedField name="CNT_55_59"/>
      <deletedField name="CNT_UP_60"/>
      <deletedField name="NOT_STATED"/>
      <deletedField name="TOTAL"/>
    </queryTableDeletedFields>
  </queryTableRefresh>
</queryTable>
</file>

<file path=xl/queryTables/queryTable57.xml><?xml version="1.0" encoding="utf-8"?>
<queryTable xmlns="http://schemas.openxmlformats.org/spreadsheetml/2006/main" name="(Default) XLS_TAB_34" headers="0" backgroundRefresh="0" growShrinkType="overwriteClear" adjustColumnWidth="0" connectionId="55" autoFormatId="16" applyNumberFormats="0" applyBorderFormats="0" applyFontFormats="0" applyPatternFormats="0" applyAlignmentFormats="0" applyWidthHeightFormats="0">
  <queryTableRefresh headersInLastRefresh="0" nextId="8">
    <queryTableFields count="7">
      <queryTableField id="1" name="QATAR" tableColumnId="1"/>
      <queryTableField id="2" name="OTHER_G_C_C_COUNTRIES" tableColumnId="2"/>
      <queryTableField id="3" name="OTHER_ARAB_COUNTRIES" tableColumnId="3"/>
      <queryTableField id="4" name="ASIAN_COUNTRIES" tableColumnId="4"/>
      <queryTableField id="5" name="EUROPEAN_COUNTRIES" tableColumnId="5"/>
      <queryTableField id="6" name="OTHER_COUNTRIES" tableColumnId="6"/>
      <queryTableField id="7" name="TOTAL" tableColumnId="7"/>
    </queryTableFields>
  </queryTableRefresh>
</queryTable>
</file>

<file path=xl/queryTables/queryTable58.xml><?xml version="1.0" encoding="utf-8"?>
<queryTable xmlns="http://schemas.openxmlformats.org/spreadsheetml/2006/main" name="(Default) XLS_TAB_35" headers="0" backgroundRefresh="0" growShrinkType="overwriteClear" adjustColumnWidth="0" connectionId="56" autoFormatId="16" applyNumberFormats="0" applyBorderFormats="0" applyFontFormats="0" applyPatternFormats="0" applyAlignmentFormats="0" applyWidthHeightFormats="0">
  <queryTableRefresh headersInLastRefresh="0" nextId="15" unboundColumnsLeft="6" unboundColumnsRight="1">
    <queryTableFields count="14">
      <queryTableField id="1" dataBound="0" tableColumnId="1"/>
      <queryTableField id="2" dataBound="0" tableColumnId="2"/>
      <queryTableField id="3" dataBound="0" tableColumnId="3"/>
      <queryTableField id="4" dataBound="0" tableColumnId="4"/>
      <queryTableField id="5" dataBound="0" tableColumnId="5"/>
      <queryTableField id="6" dataBound="0" tableColumnId="6"/>
      <queryTableField id="7" name="Q_TOT_CNT" tableColumnId="7"/>
      <queryTableField id="8" dataBound="0" tableColumnId="8"/>
      <queryTableField id="9" dataBound="0" tableColumnId="9"/>
      <queryTableField id="10" dataBound="0" tableColumnId="10"/>
      <queryTableField id="11" dataBound="0" tableColumnId="11"/>
      <queryTableField id="12" dataBound="0" tableColumnId="12"/>
      <queryTableField id="13" name="NQ_TOT_CNT" tableColumnId="13"/>
      <queryTableField id="14" dataBound="0" tableColumnId="14"/>
    </queryTableFields>
    <queryTableDeletedFields count="12">
      <deletedField name="AGE_LEVEL_ARB"/>
      <deletedField name="AGE_LEVEL_ENG"/>
      <deletedField name="Q_NONE_CNT"/>
      <deletedField name="Q_1_CNT"/>
      <deletedField name="Q_2_CNT"/>
      <deletedField name="Q_4_CNT"/>
      <deletedField name="Q_NOT_STATED"/>
      <deletedField name="NQ_NONE_CNT"/>
      <deletedField name="NQ_1_CNT"/>
      <deletedField name="NQ_2_CNT"/>
      <deletedField name="NQ_4_CNT"/>
      <deletedField name="NQ_NOT_STATED"/>
    </queryTableDeletedFields>
  </queryTableRefresh>
</queryTable>
</file>

<file path=xl/queryTables/queryTable59.xml><?xml version="1.0" encoding="utf-8"?>
<queryTable xmlns="http://schemas.openxmlformats.org/spreadsheetml/2006/main" name="(Default) XLS_TAB_36_1" headers="0" backgroundRefresh="0" growShrinkType="overwriteClear" adjustColumnWidth="0" connectionId="57"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xml><?xml version="1.0" encoding="utf-8"?>
<queryTable xmlns="http://schemas.openxmlformats.org/spreadsheetml/2006/main" name="(Default) XLS_TAB_10" headers="0" backgroundRefresh="0" growShrinkType="overwriteClear" adjustColumnWidth="0" connectionId="2" autoFormatId="16" applyNumberFormats="0" applyBorderFormats="0" applyFontFormats="0" applyPatternFormats="0" applyAlignmentFormats="0" applyWidthHeightFormats="0">
  <queryTableRefresh headersInLastRefresh="0" nextId="15">
    <queryTableFields count="14">
      <queryTableField id="1" name="NAT_DESC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NAT_DESC_ENG" tableColumnId="14"/>
    </queryTableFields>
  </queryTableRefresh>
</queryTable>
</file>

<file path=xl/queryTables/queryTable60.xml><?xml version="1.0" encoding="utf-8"?>
<queryTable xmlns="http://schemas.openxmlformats.org/spreadsheetml/2006/main" name="(Default) XLS_TAB_36_2" headers="0" backgroundRefresh="0" growShrinkType="overwriteClear" adjustColumnWidth="0" connectionId="58"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1.xml><?xml version="1.0" encoding="utf-8"?>
<queryTable xmlns="http://schemas.openxmlformats.org/spreadsheetml/2006/main" name="(Default) XLS_TAB_36_3" headers="0" backgroundRefresh="0" growShrinkType="overwriteClear" adjustColumnWidth="0" connectionId="59"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2.xml><?xml version="1.0" encoding="utf-8"?>
<queryTable xmlns="http://schemas.openxmlformats.org/spreadsheetml/2006/main" name="(Default) XLS_TAB_37_1" headers="0" backgroundRefresh="0" growShrinkType="overwriteClear" adjustColumnWidth="0" connectionId="60"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3.xml><?xml version="1.0" encoding="utf-8"?>
<queryTable xmlns="http://schemas.openxmlformats.org/spreadsheetml/2006/main" name="(Default) XLS_TAB_37_2" headers="0" backgroundRefresh="0" growShrinkType="overwriteClear" adjustColumnWidth="0" connectionId="61"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4.xml><?xml version="1.0" encoding="utf-8"?>
<queryTable xmlns="http://schemas.openxmlformats.org/spreadsheetml/2006/main" name="(Default) XLS_TAB_37_3" headers="0" backgroundRefresh="0" growShrinkType="overwriteClear" adjustColumnWidth="0" connectionId="62"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5.xml><?xml version="1.0" encoding="utf-8"?>
<queryTable xmlns="http://schemas.openxmlformats.org/spreadsheetml/2006/main" name="(Default) XLS_TAB_38_1" headers="0" backgroundRefresh="0" growShrinkType="overwriteClear" adjustColumnWidth="0" connectionId="63"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dataBound="0" tableColumnId="14"/>
      <queryTableField id="15" name="JOB_ENG" tableColumnId="15"/>
    </queryTableFields>
    <queryTableDeletedFields count="13">
      <deletedField name="LEGISLATORS_CNT"/>
      <deletedField name="PROFESSIONALS_CNT"/>
      <deletedField name="TECHNICIANS_CNT"/>
      <deletedField name="CLERKS_CNT"/>
      <deletedField name="SERVICE_WORKERS_CNT"/>
      <deletedField name="SKILLED_AGRICULTURAL_CNT"/>
      <deletedField name="CRAFT_CNT"/>
      <deletedField name="PLANT_CNT"/>
      <deletedField name="ELEMENTARY_OCCUPATIONS_CNT"/>
      <deletedField name="NOT_KNOWN_CNT"/>
      <deletedField name="TOTAL"/>
      <deletedField name="NO_OCCUP"/>
      <deletedField name="GRND_TOTAL"/>
    </queryTableDeletedFields>
  </queryTableRefresh>
</queryTable>
</file>

<file path=xl/queryTables/queryTable66.xml><?xml version="1.0" encoding="utf-8"?>
<queryTable xmlns="http://schemas.openxmlformats.org/spreadsheetml/2006/main" name="(Default) XLS_TAB_38_2" headers="0" backgroundRefresh="0" growShrinkType="overwriteClear" adjustColumnWidth="0" connectionId="64"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dataBound="0" tableColumnId="14"/>
      <queryTableField id="15" name="JOB_ENG" tableColumnId="15"/>
    </queryTableFields>
    <queryTableDeletedFields count="13">
      <deletedField name="LEGISLATORS_CNT"/>
      <deletedField name="PROFESSIONALS_CNT"/>
      <deletedField name="TECHNICIANS_CNT"/>
      <deletedField name="CLERKS_CNT"/>
      <deletedField name="SERVICE_WORKERS_CNT"/>
      <deletedField name="SKILLED_AGRICULTURAL_CNT"/>
      <deletedField name="CRAFT_CNT"/>
      <deletedField name="PLANT_CNT"/>
      <deletedField name="ELEMENTARY_OCCUPATIONS_CNT"/>
      <deletedField name="NOT_KNOWN_CNT"/>
      <deletedField name="TOTAL"/>
      <deletedField name="NO_OCCUP"/>
      <deletedField name="GRND_TOTAL"/>
    </queryTableDeletedFields>
  </queryTableRefresh>
</queryTable>
</file>

<file path=xl/queryTables/queryTable67.xml><?xml version="1.0" encoding="utf-8"?>
<queryTable xmlns="http://schemas.openxmlformats.org/spreadsheetml/2006/main" name="(Default) XLS_TAB_38_3" headers="0" backgroundRefresh="0" growShrinkType="overwriteClear" adjustColumnWidth="0" connectionId="65"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dataBound="0" tableColumnId="14"/>
      <queryTableField id="15" name="JOB_ENG" tableColumnId="15"/>
    </queryTableFields>
    <queryTableDeletedFields count="13">
      <deletedField name="LEGISLATORS_CNT"/>
      <deletedField name="PROFESSIONALS_CNT"/>
      <deletedField name="TECHNICIANS_CNT"/>
      <deletedField name="CLERKS_CNT"/>
      <deletedField name="SERVICE_WORKERS_CNT"/>
      <deletedField name="SKILLED_AGRICULTURAL_CNT"/>
      <deletedField name="CRAFT_CNT"/>
      <deletedField name="PLANT_CNT"/>
      <deletedField name="ELEMENTARY_OCCUPATIONS_CNT"/>
      <deletedField name="NOT_KNOWN_CNT"/>
      <deletedField name="TOTAL"/>
      <deletedField name="NO_OCCUP"/>
      <deletedField name="GRND_TOTAL"/>
    </queryTableDeletedFields>
  </queryTableRefresh>
</queryTable>
</file>

<file path=xl/queryTables/queryTable68.xml><?xml version="1.0" encoding="utf-8"?>
<queryTable xmlns="http://schemas.openxmlformats.org/spreadsheetml/2006/main" name="(Default) XLS_TAB_39_1" headers="0" backgroundRefresh="0" growShrinkType="overwriteClear" adjustColumnWidth="0" connectionId="66" autoFormatId="16" applyNumberFormats="0" applyBorderFormats="0" applyFontFormats="0" applyPatternFormats="0" applyAlignmentFormats="0" applyWidthHeightFormats="0">
  <queryTableRefresh headersInLastRefresh="0" nextId="15" unboundColumnsLeft="13">
    <queryTableFields count="14">
      <queryTableField id="1" dataBound="0"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name="AGE_LEVEL_HUSBD_ENG" tableColumnId="14"/>
    </queryTableFields>
    <queryTableDeletedFields count="13">
      <deletedField name="AGE_LEVEL_LESS_20"/>
      <deletedField name="AGE_LEVEL_20_24"/>
      <deletedField name="AGE_LEVEL_25_29"/>
      <deletedField name="AGE_LEVEL_30_34"/>
      <deletedField name="AGE_LEVEL_35_39"/>
      <deletedField name="AGE_LEVEL_40_44"/>
      <deletedField name="AGE_LEVEL_45_49"/>
      <deletedField name="AGE_LEVEL_50_54"/>
      <deletedField name="AGE_LEVEL_55_59"/>
      <deletedField name="AGE_LEVEL_UP_60"/>
      <deletedField name="AGE_LEVEL_NOT_STATED"/>
      <deletedField name="TOTAL"/>
      <deletedField name="AGE_LEVEL_HUSBD_ARB"/>
    </queryTableDeletedFields>
  </queryTableRefresh>
</queryTable>
</file>

<file path=xl/queryTables/queryTable69.xml><?xml version="1.0" encoding="utf-8"?>
<queryTable xmlns="http://schemas.openxmlformats.org/spreadsheetml/2006/main" name="(Default) XLS_TAB_39_2" headers="0" backgroundRefresh="0" growShrinkType="overwriteClear" adjustColumnWidth="0" connectionId="67"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name="AGE_LEVEL_HUSBD_ENG" tableColumnId="14"/>
    </queryTableFields>
    <queryTableDeletedFields count="12">
      <deletedField name="AGE_LEVEL_LESS_20"/>
      <deletedField name="AGE_LEVEL_20_24"/>
      <deletedField name="AGE_LEVEL_25_29"/>
      <deletedField name="AGE_LEVEL_30_34"/>
      <deletedField name="AGE_LEVEL_35_39"/>
      <deletedField name="AGE_LEVEL_40_44"/>
      <deletedField name="AGE_LEVEL_45_49"/>
      <deletedField name="AGE_LEVEL_50_54"/>
      <deletedField name="AGE_LEVEL_55_59"/>
      <deletedField name="AGE_LEVEL_UP_60"/>
      <deletedField name="AGE_LEVEL_NOT_STATED"/>
      <deletedField name="TOTAL"/>
    </queryTableDeletedFields>
  </queryTableRefresh>
</queryTable>
</file>

<file path=xl/queryTables/queryTable7.xml><?xml version="1.0" encoding="utf-8"?>
<queryTable xmlns="http://schemas.openxmlformats.org/spreadsheetml/2006/main" name="(Default) XLS_TAB_11_1" headers="0" backgroundRefresh="0" growShrinkType="overwriteClear" adjustColumnWidth="0" connectionId="3"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0.xml><?xml version="1.0" encoding="utf-8"?>
<queryTable xmlns="http://schemas.openxmlformats.org/spreadsheetml/2006/main" name="(Default) XLS_TAB_39_3" headers="0" backgroundRefresh="0" growShrinkType="overwriteClear" adjustColumnWidth="0" connectionId="68"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name="AGE_LEVEL_HUSBD_ENG" tableColumnId="14"/>
    </queryTableFields>
    <queryTableDeletedFields count="12">
      <deletedField name="AGE_LEVEL_LESS_20"/>
      <deletedField name="AGE_LEVEL_20_24"/>
      <deletedField name="AGE_LEVEL_25_29"/>
      <deletedField name="AGE_LEVEL_30_34"/>
      <deletedField name="AGE_LEVEL_35_39"/>
      <deletedField name="AGE_LEVEL_40_44"/>
      <deletedField name="AGE_LEVEL_45_49"/>
      <deletedField name="AGE_LEVEL_50_54"/>
      <deletedField name="AGE_LEVEL_55_59"/>
      <deletedField name="AGE_LEVEL_UP_60"/>
      <deletedField name="AGE_LEVEL_NOT_STATED"/>
      <deletedField name="TOTAL"/>
    </queryTableDeletedFields>
  </queryTableRefresh>
</queryTable>
</file>

<file path=xl/queryTables/queryTable71.xml><?xml version="1.0" encoding="utf-8"?>
<queryTable xmlns="http://schemas.openxmlformats.org/spreadsheetml/2006/main" name="(Default) XLS_TAB_40_1" headers="0" backgroundRefresh="0" growShrinkType="overwriteClear" adjustColumnWidth="0" connectionId="69"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72.xml><?xml version="1.0" encoding="utf-8"?>
<queryTable xmlns="http://schemas.openxmlformats.org/spreadsheetml/2006/main" name="(Default) XLS_TAB_40_2" headers="0" backgroundRefresh="0" growShrinkType="overwriteClear" adjustColumnWidth="0" connectionId="70"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73.xml><?xml version="1.0" encoding="utf-8"?>
<queryTable xmlns="http://schemas.openxmlformats.org/spreadsheetml/2006/main" name="(Default) XLS_TAB_40_3" headers="0" backgroundRefresh="0" growShrinkType="overwriteClear" adjustColumnWidth="0" connectionId="71"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74.xml><?xml version="1.0" encoding="utf-8"?>
<queryTable xmlns="http://schemas.openxmlformats.org/spreadsheetml/2006/main" name="(Default) XLS_TAB_41_1" headers="0" backgroundRefresh="0" growShrinkType="overwriteClear" adjustColumnWidth="0" connectionId="72"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75.xml><?xml version="1.0" encoding="utf-8"?>
<queryTable xmlns="http://schemas.openxmlformats.org/spreadsheetml/2006/main" name="(Default) XLS_TAB_41_2" headers="0" backgroundRefresh="0" growShrinkType="overwriteClear" adjustColumnWidth="0" connectionId="73"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76.xml><?xml version="1.0" encoding="utf-8"?>
<queryTable xmlns="http://schemas.openxmlformats.org/spreadsheetml/2006/main" name="(Default) XLS_TAB_41_3" headers="0" backgroundRefresh="0" growShrinkType="overwriteClear" adjustColumnWidth="0" connectionId="74"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77.xml><?xml version="1.0" encoding="utf-8"?>
<queryTable xmlns="http://schemas.openxmlformats.org/spreadsheetml/2006/main" name="(Default) XLS_TAB_42" headers="0" backgroundRefresh="0" growShrinkType="overwriteClear" adjustColumnWidth="0" connectionId="75" autoFormatId="16" applyNumberFormats="0" applyBorderFormats="0" applyFontFormats="0" applyPatternFormats="0" applyAlignmentFormats="0" applyWidthHeightFormats="0">
  <queryTableRefresh headersInLastRefresh="0" nextId="13">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DeletedFields count="1">
      <deletedField name="TOTAL"/>
    </queryTableDeletedFields>
  </queryTableRefresh>
</queryTable>
</file>

<file path=xl/queryTables/queryTable78.xml><?xml version="1.0" encoding="utf-8"?>
<queryTable xmlns="http://schemas.openxmlformats.org/spreadsheetml/2006/main" name="(Default) XLS_TAB_43" headers="0" backgroundRefresh="0" growShrinkType="overwriteClear" adjustColumnWidth="0" connectionId="76" autoFormatId="16" applyNumberFormats="0" applyBorderFormats="0" applyFontFormats="0" applyPatternFormats="0" applyAlignmentFormats="0" applyWidthHeightFormats="0">
  <queryTableRefresh headersInLastRefresh="0" nextId="13">
    <queryTableFields count="12">
      <queryTableField id="1" name="MARRD_PRD_HUSBD_ARB"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name="MARRD_PRD_HUSBD_ENG" tableColumnId="12"/>
    </queryTableFields>
    <queryTableDeletedFields count="10">
      <deletedField name="CAT_1_SON_CNT"/>
      <deletedField name="CAT_1_CASE_CNT"/>
      <deletedField name="CAT_2_SON_CNT"/>
      <deletedField name="CAT_2_CASE_CNT"/>
      <deletedField name="CAT_3_SON_CNT"/>
      <deletedField name="CAT_3_CASE_CNT"/>
      <deletedField name="CAT_4_SON_CNT"/>
      <deletedField name="CAT_4_CASE_CNT"/>
      <deletedField name="CAT_TOT_SON_CNT"/>
      <deletedField name="CAT_TOT_CASE_CNT"/>
    </queryTableDeletedFields>
  </queryTableRefresh>
</queryTable>
</file>

<file path=xl/queryTables/queryTable79.xml><?xml version="1.0" encoding="utf-8"?>
<queryTable xmlns="http://schemas.openxmlformats.org/spreadsheetml/2006/main" name="(Default) XLS_TAB_27_2" headers="0" backgroundRefresh="0" growShrinkType="overwriteClear" adjustColumnWidth="0" connectionId="41" autoFormatId="16" applyNumberFormats="0" applyBorderFormats="0" applyFontFormats="0" applyPatternFormats="0" applyAlignmentFormats="0" applyWidthHeightFormats="0">
  <queryTableRefresh headersInLastRefresh="0" nextId="6">
    <queryTableFields count="5">
      <queryTableField id="1" name="MARR_PRD_ARB" tableColumnId="1"/>
      <queryTableField id="2" dataBound="0" tableColumnId="2"/>
      <queryTableField id="3" dataBound="0" tableColumnId="3"/>
      <queryTableField id="4" name="TOTAL" tableColumnId="4"/>
      <queryTableField id="5" name="MARR_PRD_ENG" tableColumnId="5"/>
    </queryTableFields>
    <queryTableDeletedFields count="2">
      <deletedField name="QATARI_SON_CNT"/>
      <deletedField name="NON_QATARI_SON_CNT"/>
    </queryTableDeletedFields>
  </queryTableRefresh>
</queryTable>
</file>

<file path=xl/queryTables/queryTable8.xml><?xml version="1.0" encoding="utf-8"?>
<queryTable xmlns="http://schemas.openxmlformats.org/spreadsheetml/2006/main" name="(Default) XLS_TAB_11_2" headers="0" backgroundRefresh="0" growShrinkType="overwriteClear" adjustColumnWidth="0" connectionId="4"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80.xml><?xml version="1.0" encoding="utf-8"?>
<queryTable xmlns="http://schemas.openxmlformats.org/spreadsheetml/2006/main" name="(Default) XLS_TAB_48" headers="0" backgroundRefresh="0" growShrinkType="overwriteClear" adjustColumnWidth="0" connectionId="77" autoFormatId="16" applyNumberFormats="0" applyBorderFormats="0" applyFontFormats="0" applyPatternFormats="0" applyAlignmentFormats="0" applyWidthHeightFormats="0">
  <queryTableRefresh headersInLastRefresh="0" nextId="6">
    <queryTableFields count="5">
      <queryTableField id="1" name="MARR_PRD_ARB" tableColumnId="1"/>
      <queryTableField id="2" dataBound="0" tableColumnId="2"/>
      <queryTableField id="3" dataBound="0" tableColumnId="3"/>
      <queryTableField id="4" dataBound="0" tableColumnId="4"/>
      <queryTableField id="5" name="MARR_PRD_ENG" tableColumnId="5"/>
    </queryTableFields>
    <queryTableDeletedFields count="3">
      <deletedField name="QATARI_SON_CNT"/>
      <deletedField name="NON_QATARI_SON_CNT"/>
      <deletedField name="TOTAL"/>
    </queryTableDeletedFields>
  </queryTableRefresh>
</queryTable>
</file>

<file path=xl/queryTables/queryTable9.xml><?xml version="1.0" encoding="utf-8"?>
<queryTable xmlns="http://schemas.openxmlformats.org/spreadsheetml/2006/main" name="(Default) XLS_TAB_11_3" headers="0" backgroundRefresh="0" growShrinkType="overwriteClear" adjustColumnWidth="0" connectionId="5"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27.xml.rels><?xml version="1.0" encoding="UTF-8" standalone="yes"?>
<Relationships xmlns="http://schemas.openxmlformats.org/package/2006/relationships"><Relationship Id="rId1" Type="http://schemas.openxmlformats.org/officeDocument/2006/relationships/queryTable" Target="../queryTables/queryTable27.xml"/></Relationships>
</file>

<file path=xl/tables/_rels/table28.xml.rels><?xml version="1.0" encoding="UTF-8" standalone="yes"?>
<Relationships xmlns="http://schemas.openxmlformats.org/package/2006/relationships"><Relationship Id="rId1" Type="http://schemas.openxmlformats.org/officeDocument/2006/relationships/queryTable" Target="../queryTables/queryTable28.xml"/></Relationships>
</file>

<file path=xl/tables/_rels/table29.xml.rels><?xml version="1.0" encoding="UTF-8" standalone="yes"?>
<Relationships xmlns="http://schemas.openxmlformats.org/package/2006/relationships"><Relationship Id="rId1" Type="http://schemas.openxmlformats.org/officeDocument/2006/relationships/queryTable" Target="../queryTables/queryTable29.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30.xml.rels><?xml version="1.0" encoding="UTF-8" standalone="yes"?>
<Relationships xmlns="http://schemas.openxmlformats.org/package/2006/relationships"><Relationship Id="rId1" Type="http://schemas.openxmlformats.org/officeDocument/2006/relationships/queryTable" Target="../queryTables/queryTable30.xml"/></Relationships>
</file>

<file path=xl/tables/_rels/table31.xml.rels><?xml version="1.0" encoding="UTF-8" standalone="yes"?>
<Relationships xmlns="http://schemas.openxmlformats.org/package/2006/relationships"><Relationship Id="rId1" Type="http://schemas.openxmlformats.org/officeDocument/2006/relationships/queryTable" Target="../queryTables/queryTable31.xml"/></Relationships>
</file>

<file path=xl/tables/_rels/table32.xml.rels><?xml version="1.0" encoding="UTF-8" standalone="yes"?>
<Relationships xmlns="http://schemas.openxmlformats.org/package/2006/relationships"><Relationship Id="rId1" Type="http://schemas.openxmlformats.org/officeDocument/2006/relationships/queryTable" Target="../queryTables/queryTable32.xml"/></Relationships>
</file>

<file path=xl/tables/_rels/table33.xml.rels><?xml version="1.0" encoding="UTF-8" standalone="yes"?>
<Relationships xmlns="http://schemas.openxmlformats.org/package/2006/relationships"><Relationship Id="rId1" Type="http://schemas.openxmlformats.org/officeDocument/2006/relationships/queryTable" Target="../queryTables/queryTable33.xml"/></Relationships>
</file>

<file path=xl/tables/_rels/table34.xml.rels><?xml version="1.0" encoding="UTF-8" standalone="yes"?>
<Relationships xmlns="http://schemas.openxmlformats.org/package/2006/relationships"><Relationship Id="rId1" Type="http://schemas.openxmlformats.org/officeDocument/2006/relationships/queryTable" Target="../queryTables/queryTable34.xml"/></Relationships>
</file>

<file path=xl/tables/_rels/table35.xml.rels><?xml version="1.0" encoding="UTF-8" standalone="yes"?>
<Relationships xmlns="http://schemas.openxmlformats.org/package/2006/relationships"><Relationship Id="rId1" Type="http://schemas.openxmlformats.org/officeDocument/2006/relationships/queryTable" Target="../queryTables/queryTable35.xml"/></Relationships>
</file>

<file path=xl/tables/_rels/table36.xml.rels><?xml version="1.0" encoding="UTF-8" standalone="yes"?>
<Relationships xmlns="http://schemas.openxmlformats.org/package/2006/relationships"><Relationship Id="rId1" Type="http://schemas.openxmlformats.org/officeDocument/2006/relationships/queryTable" Target="../queryTables/queryTable36.xml"/></Relationships>
</file>

<file path=xl/tables/_rels/table37.xml.rels><?xml version="1.0" encoding="UTF-8" standalone="yes"?>
<Relationships xmlns="http://schemas.openxmlformats.org/package/2006/relationships"><Relationship Id="rId1" Type="http://schemas.openxmlformats.org/officeDocument/2006/relationships/queryTable" Target="../queryTables/queryTable37.xml"/></Relationships>
</file>

<file path=xl/tables/_rels/table38.xml.rels><?xml version="1.0" encoding="UTF-8" standalone="yes"?>
<Relationships xmlns="http://schemas.openxmlformats.org/package/2006/relationships"><Relationship Id="rId1" Type="http://schemas.openxmlformats.org/officeDocument/2006/relationships/queryTable" Target="../queryTables/queryTable38.xml"/></Relationships>
</file>

<file path=xl/tables/_rels/table39.xml.rels><?xml version="1.0" encoding="UTF-8" standalone="yes"?>
<Relationships xmlns="http://schemas.openxmlformats.org/package/2006/relationships"><Relationship Id="rId1" Type="http://schemas.openxmlformats.org/officeDocument/2006/relationships/queryTable" Target="../queryTables/queryTable39.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40.xml.rels><?xml version="1.0" encoding="UTF-8" standalone="yes"?>
<Relationships xmlns="http://schemas.openxmlformats.org/package/2006/relationships"><Relationship Id="rId1" Type="http://schemas.openxmlformats.org/officeDocument/2006/relationships/queryTable" Target="../queryTables/queryTable40.xml"/></Relationships>
</file>

<file path=xl/tables/_rels/table41.xml.rels><?xml version="1.0" encoding="UTF-8" standalone="yes"?>
<Relationships xmlns="http://schemas.openxmlformats.org/package/2006/relationships"><Relationship Id="rId1" Type="http://schemas.openxmlformats.org/officeDocument/2006/relationships/queryTable" Target="../queryTables/queryTable41.xml"/></Relationships>
</file>

<file path=xl/tables/_rels/table42.xml.rels><?xml version="1.0" encoding="UTF-8" standalone="yes"?>
<Relationships xmlns="http://schemas.openxmlformats.org/package/2006/relationships"><Relationship Id="rId1" Type="http://schemas.openxmlformats.org/officeDocument/2006/relationships/queryTable" Target="../queryTables/queryTable42.xml"/></Relationships>
</file>

<file path=xl/tables/_rels/table43.xml.rels><?xml version="1.0" encoding="UTF-8" standalone="yes"?>
<Relationships xmlns="http://schemas.openxmlformats.org/package/2006/relationships"><Relationship Id="rId1" Type="http://schemas.openxmlformats.org/officeDocument/2006/relationships/queryTable" Target="../queryTables/queryTable43.xml"/></Relationships>
</file>

<file path=xl/tables/_rels/table44.xml.rels><?xml version="1.0" encoding="UTF-8" standalone="yes"?>
<Relationships xmlns="http://schemas.openxmlformats.org/package/2006/relationships"><Relationship Id="rId1" Type="http://schemas.openxmlformats.org/officeDocument/2006/relationships/queryTable" Target="../queryTables/queryTable44.xml"/></Relationships>
</file>

<file path=xl/tables/_rels/table45.xml.rels><?xml version="1.0" encoding="UTF-8" standalone="yes"?>
<Relationships xmlns="http://schemas.openxmlformats.org/package/2006/relationships"><Relationship Id="rId1" Type="http://schemas.openxmlformats.org/officeDocument/2006/relationships/queryTable" Target="../queryTables/queryTable45.xml"/></Relationships>
</file>

<file path=xl/tables/_rels/table46.xml.rels><?xml version="1.0" encoding="UTF-8" standalone="yes"?>
<Relationships xmlns="http://schemas.openxmlformats.org/package/2006/relationships"><Relationship Id="rId1" Type="http://schemas.openxmlformats.org/officeDocument/2006/relationships/queryTable" Target="../queryTables/queryTable46.xml"/></Relationships>
</file>

<file path=xl/tables/_rels/table47.xml.rels><?xml version="1.0" encoding="UTF-8" standalone="yes"?>
<Relationships xmlns="http://schemas.openxmlformats.org/package/2006/relationships"><Relationship Id="rId1" Type="http://schemas.openxmlformats.org/officeDocument/2006/relationships/queryTable" Target="../queryTables/queryTable47.xml"/></Relationships>
</file>

<file path=xl/tables/_rels/table48.xml.rels><?xml version="1.0" encoding="UTF-8" standalone="yes"?>
<Relationships xmlns="http://schemas.openxmlformats.org/package/2006/relationships"><Relationship Id="rId1" Type="http://schemas.openxmlformats.org/officeDocument/2006/relationships/queryTable" Target="../queryTables/queryTable48.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52.xml.rels><?xml version="1.0" encoding="UTF-8" standalone="yes"?>
<Relationships xmlns="http://schemas.openxmlformats.org/package/2006/relationships"><Relationship Id="rId1" Type="http://schemas.openxmlformats.org/officeDocument/2006/relationships/queryTable" Target="../queryTables/queryTable49.xml"/></Relationships>
</file>

<file path=xl/tables/_rels/table53.xml.rels><?xml version="1.0" encoding="UTF-8" standalone="yes"?>
<Relationships xmlns="http://schemas.openxmlformats.org/package/2006/relationships"><Relationship Id="rId1" Type="http://schemas.openxmlformats.org/officeDocument/2006/relationships/queryTable" Target="../queryTables/queryTable50.xml"/></Relationships>
</file>

<file path=xl/tables/_rels/table54.xml.rels><?xml version="1.0" encoding="UTF-8" standalone="yes"?>
<Relationships xmlns="http://schemas.openxmlformats.org/package/2006/relationships"><Relationship Id="rId1" Type="http://schemas.openxmlformats.org/officeDocument/2006/relationships/queryTable" Target="../queryTables/queryTable51.xml"/></Relationships>
</file>

<file path=xl/tables/_rels/table55.xml.rels><?xml version="1.0" encoding="UTF-8" standalone="yes"?>
<Relationships xmlns="http://schemas.openxmlformats.org/package/2006/relationships"><Relationship Id="rId1" Type="http://schemas.openxmlformats.org/officeDocument/2006/relationships/queryTable" Target="../queryTables/queryTable52.xml"/></Relationships>
</file>

<file path=xl/tables/_rels/table56.xml.rels><?xml version="1.0" encoding="UTF-8" standalone="yes"?>
<Relationships xmlns="http://schemas.openxmlformats.org/package/2006/relationships"><Relationship Id="rId1" Type="http://schemas.openxmlformats.org/officeDocument/2006/relationships/queryTable" Target="../queryTables/queryTable53.xml"/></Relationships>
</file>

<file path=xl/tables/_rels/table57.xml.rels><?xml version="1.0" encoding="UTF-8" standalone="yes"?>
<Relationships xmlns="http://schemas.openxmlformats.org/package/2006/relationships"><Relationship Id="rId1" Type="http://schemas.openxmlformats.org/officeDocument/2006/relationships/queryTable" Target="../queryTables/queryTable54.xml"/></Relationships>
</file>

<file path=xl/tables/_rels/table58.xml.rels><?xml version="1.0" encoding="UTF-8" standalone="yes"?>
<Relationships xmlns="http://schemas.openxmlformats.org/package/2006/relationships"><Relationship Id="rId1" Type="http://schemas.openxmlformats.org/officeDocument/2006/relationships/queryTable" Target="../queryTables/queryTable55.xml"/></Relationships>
</file>

<file path=xl/tables/_rels/table59.xml.rels><?xml version="1.0" encoding="UTF-8" standalone="yes"?>
<Relationships xmlns="http://schemas.openxmlformats.org/package/2006/relationships"><Relationship Id="rId1" Type="http://schemas.openxmlformats.org/officeDocument/2006/relationships/queryTable" Target="../queryTables/queryTable56.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60.xml.rels><?xml version="1.0" encoding="UTF-8" standalone="yes"?>
<Relationships xmlns="http://schemas.openxmlformats.org/package/2006/relationships"><Relationship Id="rId1" Type="http://schemas.openxmlformats.org/officeDocument/2006/relationships/queryTable" Target="../queryTables/queryTable57.xml"/></Relationships>
</file>

<file path=xl/tables/_rels/table61.xml.rels><?xml version="1.0" encoding="UTF-8" standalone="yes"?>
<Relationships xmlns="http://schemas.openxmlformats.org/package/2006/relationships"><Relationship Id="rId1" Type="http://schemas.openxmlformats.org/officeDocument/2006/relationships/queryTable" Target="../queryTables/queryTable58.xml"/></Relationships>
</file>

<file path=xl/tables/_rels/table62.xml.rels><?xml version="1.0" encoding="UTF-8" standalone="yes"?>
<Relationships xmlns="http://schemas.openxmlformats.org/package/2006/relationships"><Relationship Id="rId1" Type="http://schemas.openxmlformats.org/officeDocument/2006/relationships/queryTable" Target="../queryTables/queryTable59.xml"/></Relationships>
</file>

<file path=xl/tables/_rels/table63.xml.rels><?xml version="1.0" encoding="UTF-8" standalone="yes"?>
<Relationships xmlns="http://schemas.openxmlformats.org/package/2006/relationships"><Relationship Id="rId1" Type="http://schemas.openxmlformats.org/officeDocument/2006/relationships/queryTable" Target="../queryTables/queryTable60.xml"/></Relationships>
</file>

<file path=xl/tables/_rels/table64.xml.rels><?xml version="1.0" encoding="UTF-8" standalone="yes"?>
<Relationships xmlns="http://schemas.openxmlformats.org/package/2006/relationships"><Relationship Id="rId1" Type="http://schemas.openxmlformats.org/officeDocument/2006/relationships/queryTable" Target="../queryTables/queryTable61.xml"/></Relationships>
</file>

<file path=xl/tables/_rels/table65.xml.rels><?xml version="1.0" encoding="UTF-8" standalone="yes"?>
<Relationships xmlns="http://schemas.openxmlformats.org/package/2006/relationships"><Relationship Id="rId1" Type="http://schemas.openxmlformats.org/officeDocument/2006/relationships/queryTable" Target="../queryTables/queryTable62.xml"/></Relationships>
</file>

<file path=xl/tables/_rels/table66.xml.rels><?xml version="1.0" encoding="UTF-8" standalone="yes"?>
<Relationships xmlns="http://schemas.openxmlformats.org/package/2006/relationships"><Relationship Id="rId1" Type="http://schemas.openxmlformats.org/officeDocument/2006/relationships/queryTable" Target="../queryTables/queryTable63.xml"/></Relationships>
</file>

<file path=xl/tables/_rels/table67.xml.rels><?xml version="1.0" encoding="UTF-8" standalone="yes"?>
<Relationships xmlns="http://schemas.openxmlformats.org/package/2006/relationships"><Relationship Id="rId1" Type="http://schemas.openxmlformats.org/officeDocument/2006/relationships/queryTable" Target="../queryTables/queryTable64.xml"/></Relationships>
</file>

<file path=xl/tables/_rels/table68.xml.rels><?xml version="1.0" encoding="UTF-8" standalone="yes"?>
<Relationships xmlns="http://schemas.openxmlformats.org/package/2006/relationships"><Relationship Id="rId1" Type="http://schemas.openxmlformats.org/officeDocument/2006/relationships/queryTable" Target="../queryTables/queryTable65.xml"/></Relationships>
</file>

<file path=xl/tables/_rels/table69.xml.rels><?xml version="1.0" encoding="UTF-8" standalone="yes"?>
<Relationships xmlns="http://schemas.openxmlformats.org/package/2006/relationships"><Relationship Id="rId1" Type="http://schemas.openxmlformats.org/officeDocument/2006/relationships/queryTable" Target="../queryTables/queryTable6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70.xml.rels><?xml version="1.0" encoding="UTF-8" standalone="yes"?>
<Relationships xmlns="http://schemas.openxmlformats.org/package/2006/relationships"><Relationship Id="rId1" Type="http://schemas.openxmlformats.org/officeDocument/2006/relationships/queryTable" Target="../queryTables/queryTable67.xml"/></Relationships>
</file>

<file path=xl/tables/_rels/table71.xml.rels><?xml version="1.0" encoding="UTF-8" standalone="yes"?>
<Relationships xmlns="http://schemas.openxmlformats.org/package/2006/relationships"><Relationship Id="rId1" Type="http://schemas.openxmlformats.org/officeDocument/2006/relationships/queryTable" Target="../queryTables/queryTable68.xml"/></Relationships>
</file>

<file path=xl/tables/_rels/table72.xml.rels><?xml version="1.0" encoding="UTF-8" standalone="yes"?>
<Relationships xmlns="http://schemas.openxmlformats.org/package/2006/relationships"><Relationship Id="rId1" Type="http://schemas.openxmlformats.org/officeDocument/2006/relationships/queryTable" Target="../queryTables/queryTable69.xml"/></Relationships>
</file>

<file path=xl/tables/_rels/table73.xml.rels><?xml version="1.0" encoding="UTF-8" standalone="yes"?>
<Relationships xmlns="http://schemas.openxmlformats.org/package/2006/relationships"><Relationship Id="rId1" Type="http://schemas.openxmlformats.org/officeDocument/2006/relationships/queryTable" Target="../queryTables/queryTable70.xml"/></Relationships>
</file>

<file path=xl/tables/_rels/table74.xml.rels><?xml version="1.0" encoding="UTF-8" standalone="yes"?>
<Relationships xmlns="http://schemas.openxmlformats.org/package/2006/relationships"><Relationship Id="rId1" Type="http://schemas.openxmlformats.org/officeDocument/2006/relationships/queryTable" Target="../queryTables/queryTable71.xml"/></Relationships>
</file>

<file path=xl/tables/_rels/table75.xml.rels><?xml version="1.0" encoding="UTF-8" standalone="yes"?>
<Relationships xmlns="http://schemas.openxmlformats.org/package/2006/relationships"><Relationship Id="rId1" Type="http://schemas.openxmlformats.org/officeDocument/2006/relationships/queryTable" Target="../queryTables/queryTable72.xml"/></Relationships>
</file>

<file path=xl/tables/_rels/table76.xml.rels><?xml version="1.0" encoding="UTF-8" standalone="yes"?>
<Relationships xmlns="http://schemas.openxmlformats.org/package/2006/relationships"><Relationship Id="rId1" Type="http://schemas.openxmlformats.org/officeDocument/2006/relationships/queryTable" Target="../queryTables/queryTable73.xml"/></Relationships>
</file>

<file path=xl/tables/_rels/table77.xml.rels><?xml version="1.0" encoding="UTF-8" standalone="yes"?>
<Relationships xmlns="http://schemas.openxmlformats.org/package/2006/relationships"><Relationship Id="rId1" Type="http://schemas.openxmlformats.org/officeDocument/2006/relationships/queryTable" Target="../queryTables/queryTable74.xml"/></Relationships>
</file>

<file path=xl/tables/_rels/table78.xml.rels><?xml version="1.0" encoding="UTF-8" standalone="yes"?>
<Relationships xmlns="http://schemas.openxmlformats.org/package/2006/relationships"><Relationship Id="rId1" Type="http://schemas.openxmlformats.org/officeDocument/2006/relationships/queryTable" Target="../queryTables/queryTable75.xml"/></Relationships>
</file>

<file path=xl/tables/_rels/table79.xml.rels><?xml version="1.0" encoding="UTF-8" standalone="yes"?>
<Relationships xmlns="http://schemas.openxmlformats.org/package/2006/relationships"><Relationship Id="rId1" Type="http://schemas.openxmlformats.org/officeDocument/2006/relationships/queryTable" Target="../queryTables/queryTable76.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80.xml.rels><?xml version="1.0" encoding="UTF-8" standalone="yes"?>
<Relationships xmlns="http://schemas.openxmlformats.org/package/2006/relationships"><Relationship Id="rId1" Type="http://schemas.openxmlformats.org/officeDocument/2006/relationships/queryTable" Target="../queryTables/queryTable77.xml"/></Relationships>
</file>

<file path=xl/tables/_rels/table81.xml.rels><?xml version="1.0" encoding="UTF-8" standalone="yes"?>
<Relationships xmlns="http://schemas.openxmlformats.org/package/2006/relationships"><Relationship Id="rId1" Type="http://schemas.openxmlformats.org/officeDocument/2006/relationships/queryTable" Target="../queryTables/queryTable78.xml"/></Relationships>
</file>

<file path=xl/tables/_rels/table82.xml.rels><?xml version="1.0" encoding="UTF-8" standalone="yes"?>
<Relationships xmlns="http://schemas.openxmlformats.org/package/2006/relationships"><Relationship Id="rId1" Type="http://schemas.openxmlformats.org/officeDocument/2006/relationships/queryTable" Target="../queryTables/queryTable79.xml"/></Relationships>
</file>

<file path=xl/tables/_rels/table83.xml.rels><?xml version="1.0" encoding="UTF-8" standalone="yes"?>
<Relationships xmlns="http://schemas.openxmlformats.org/package/2006/relationships"><Relationship Id="rId1" Type="http://schemas.openxmlformats.org/officeDocument/2006/relationships/queryTable" Target="../queryTables/queryTable80.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id="4" name="Table_Default__XLS_TAB_1" displayName="Table_Default__XLS_TAB_1" ref="A10:N19" tableType="queryTable" headerRowCount="0" totalsRowShown="0" headerRowDxfId="2257" dataDxfId="2255" headerRowBorderDxfId="2256" tableBorderDxfId="2254" totalsRowBorderDxfId="2253">
  <tableColumns count="14">
    <tableColumn id="253" uniqueName="253" name="YEAR_AR" queryTableFieldId="1" dataDxfId="12" totalsRowDxfId="2252" dataCellStyle="Normal 2"/>
    <tableColumn id="254" uniqueName="254" name="M_QTRI_COUNT" queryTableFieldId="2" dataDxfId="11" totalsRowDxfId="2251" dataCellStyle="Normal 2"/>
    <tableColumn id="255" uniqueName="255" name="M_QTRI_PSG" queryTableFieldId="3" dataDxfId="10" totalsRowDxfId="2250" dataCellStyle="Normal 2"/>
    <tableColumn id="256" uniqueName="256" name="M_NQTRI_COUNT" queryTableFieldId="4" dataDxfId="9" totalsRowDxfId="2249" dataCellStyle="Normal 2"/>
    <tableColumn id="257" uniqueName="257" name="M_NQTRI_PSG" queryTableFieldId="5" dataDxfId="8" totalsRowDxfId="2248" dataCellStyle="Normal 2"/>
    <tableColumn id="258" uniqueName="258" name="M_QTRI_TOT_COUNT" queryTableFieldId="6" dataDxfId="7" totalsRowDxfId="2247" dataCellStyle="Normal 2"/>
    <tableColumn id="259" uniqueName="259" name="M_QTRI_TOT_PSG" queryTableFieldId="7" dataDxfId="6" totalsRowDxfId="2246" dataCellStyle="Normal 2"/>
    <tableColumn id="260" uniqueName="260" name="D_QTRI_COUNT" queryTableFieldId="8" dataDxfId="5" totalsRowDxfId="2245" dataCellStyle="Normal 2"/>
    <tableColumn id="261" uniqueName="261" name="D_QTRI_PSG" queryTableFieldId="9" dataDxfId="4" totalsRowDxfId="2244" dataCellStyle="Normal 2"/>
    <tableColumn id="262" uniqueName="262" name="D_NQTRI_COUNT" queryTableFieldId="10" dataDxfId="3" totalsRowDxfId="2243" dataCellStyle="Normal 2"/>
    <tableColumn id="263" uniqueName="263" name="D_NQTRI_PSG" queryTableFieldId="11" dataDxfId="2" totalsRowDxfId="2242" dataCellStyle="Normal 2"/>
    <tableColumn id="264" uniqueName="264" name="D_QTRI_TOT_COUNT" queryTableFieldId="12" dataDxfId="1" totalsRowDxfId="2241" dataCellStyle="Normal 2"/>
    <tableColumn id="265" uniqueName="265" name="D_QTRI_TOT_PSG" queryTableFieldId="13" dataDxfId="0" totalsRowDxfId="2240" dataCellStyle="Normal 2"/>
    <tableColumn id="266" uniqueName="266" name="YEAR_ENG" queryTableFieldId="14" dataDxfId="2239" totalsRowDxfId="2238" dataCellStyle="Normal 2"/>
  </tableColumns>
  <tableStyleInfo name="VITAL" showFirstColumn="0" showLastColumn="0" showRowStripes="1" showColumnStripes="0"/>
</table>
</file>

<file path=xl/tables/table10.xml><?xml version="1.0" encoding="utf-8"?>
<table xmlns="http://schemas.openxmlformats.org/spreadsheetml/2006/main" id="10" name="Table_Default__XLS_TAB_12_1" displayName="Table_Default__XLS_TAB_12_1" ref="A9:H23" tableType="queryTable" headerRowCount="0" totalsRowCount="1" headerRowDxfId="1926" dataDxfId="1925" totalsRowDxfId="1924" totalsRowBorderDxfId="1923">
  <tableColumns count="8">
    <tableColumn id="1" uniqueName="1" name="AGE_LEVEL_HUSBD_ARB" totalsRowLabel="المجموع" queryTableFieldId="1" headerRowDxfId="1922" dataDxfId="1921" totalsRowDxfId="1920" headerRowCellStyle="Normal 2" dataCellStyle="Normal 2"/>
    <tableColumn id="2" uniqueName="2" name="NO_WIFE_0" totalsRowFunction="sum" queryTableFieldId="2" headerRowDxfId="1919" dataDxfId="1918" totalsRowDxfId="1917" headerRowCellStyle="Normal 2" dataCellStyle="Normal 2"/>
    <tableColumn id="3" uniqueName="3" name="NO_WIFE_1" totalsRowFunction="sum" queryTableFieldId="3" headerRowDxfId="1916" dataDxfId="1915" totalsRowDxfId="1914" headerRowCellStyle="Normal 2" dataCellStyle="Normal 2"/>
    <tableColumn id="4" uniqueName="4" name="NO_WIFE_2" totalsRowFunction="sum" queryTableFieldId="4" headerRowDxfId="1913" dataDxfId="1912" totalsRowDxfId="1911" headerRowCellStyle="Normal 2" dataCellStyle="Normal 2"/>
    <tableColumn id="5" uniqueName="5" name="NO_WIFE_3" totalsRowFunction="sum" queryTableFieldId="5" headerRowDxfId="1910" dataDxfId="1909" totalsRowDxfId="1908" headerRowCellStyle="Normal 2" dataCellStyle="Normal 2"/>
    <tableColumn id="6" uniqueName="6" name="NO_WIFE_NOT_STATED" totalsRowFunction="sum" queryTableFieldId="6" headerRowDxfId="1907" dataDxfId="1906" totalsRowDxfId="1905" headerRowCellStyle="Normal 2" dataCellStyle="Normal 2"/>
    <tableColumn id="7" uniqueName="7" name="TOTAL" totalsRowFunction="sum" queryTableFieldId="7" headerRowDxfId="1904" dataDxfId="1903" totalsRowDxfId="1902" headerRowCellStyle="Normal 2" dataCellStyle="Normal 2"/>
    <tableColumn id="8" uniqueName="8" name="AGE_LEVEL_HUSBD_ENG" totalsRowLabel="Total" queryTableFieldId="8" headerRowDxfId="1901" dataDxfId="1900" totalsRowDxfId="1899" headerRowCellStyle="Normal 2" dataCellStyle="Normal 2"/>
  </tableColumns>
  <tableStyleInfo name="VITAL" showFirstColumn="0" showLastColumn="0" showRowStripes="1" showColumnStripes="0"/>
</table>
</file>

<file path=xl/tables/table11.xml><?xml version="1.0" encoding="utf-8"?>
<table xmlns="http://schemas.openxmlformats.org/spreadsheetml/2006/main" id="11" name="Table_Default__XLS_TAB_12_2" displayName="Table_Default__XLS_TAB_12_2" ref="A9:H23" tableType="queryTable" headerRowCount="0" totalsRowCount="1" dataDxfId="1898" totalsRowDxfId="1896" tableBorderDxfId="1897" totalsRowBorderDxfId="1895" dataCellStyle="Normal 2">
  <tableColumns count="8">
    <tableColumn id="1" uniqueName="1" name="AGE_LEVEL_HUSBD_ARB" totalsRowLabel="المجموع" queryTableFieldId="1" headerRowDxfId="1894" dataDxfId="1893" totalsRowDxfId="1892" headerRowCellStyle="Normal 2" dataCellStyle="Normal 2"/>
    <tableColumn id="2" uniqueName="2" name="NO_WIFE_0" totalsRowFunction="sum" queryTableFieldId="2" headerRowDxfId="1891" dataDxfId="1890" totalsRowDxfId="1889" headerRowCellStyle="Normal 2" dataCellStyle="Normal 2"/>
    <tableColumn id="3" uniqueName="3" name="NO_WIFE_1" totalsRowFunction="sum" queryTableFieldId="3" headerRowDxfId="1888" dataDxfId="1887" totalsRowDxfId="1886" headerRowCellStyle="Normal 2" dataCellStyle="Normal 2"/>
    <tableColumn id="4" uniqueName="4" name="NO_WIFE_2" totalsRowFunction="sum" queryTableFieldId="4" headerRowDxfId="1885" dataDxfId="1884" totalsRowDxfId="1883" headerRowCellStyle="Normal 2" dataCellStyle="Normal 2"/>
    <tableColumn id="5" uniqueName="5" name="NO_WIFE_3" totalsRowFunction="sum" queryTableFieldId="5" headerRowDxfId="1882" dataDxfId="1881" totalsRowDxfId="1880" headerRowCellStyle="Normal 2" dataCellStyle="Normal 2"/>
    <tableColumn id="6" uniqueName="6" name="NO_WIFE_NOT_STATED" totalsRowFunction="sum" queryTableFieldId="6" headerRowDxfId="1879" dataDxfId="1878" totalsRowDxfId="1877" headerRowCellStyle="Normal 2" dataCellStyle="Normal 2"/>
    <tableColumn id="7" uniqueName="7" name="TOTAL" totalsRowFunction="sum" queryTableFieldId="7" headerRowDxfId="1876" dataDxfId="1875" totalsRowDxfId="1874" headerRowCellStyle="Normal 2" dataCellStyle="Normal 2"/>
    <tableColumn id="8" uniqueName="8" name="AGE_LEVEL_HUSBD_ENG" totalsRowLabel="Total" queryTableFieldId="8" headerRowDxfId="1873" dataDxfId="1872" totalsRowDxfId="1871" headerRowCellStyle="Normal 2" dataCellStyle="Normal 2"/>
  </tableColumns>
  <tableStyleInfo name="VITAL" showFirstColumn="0" showLastColumn="0" showRowStripes="1" showColumnStripes="0"/>
</table>
</file>

<file path=xl/tables/table12.xml><?xml version="1.0" encoding="utf-8"?>
<table xmlns="http://schemas.openxmlformats.org/spreadsheetml/2006/main" id="12" name="Table_Default__XLS_TAB_12_3" displayName="Table_Default__XLS_TAB_12_3" ref="A9:H23" tableType="queryTable" headerRowCount="0" totalsRowCount="1" dataDxfId="1870" totalsRowDxfId="1868" tableBorderDxfId="1869" totalsRowBorderDxfId="1867" dataCellStyle="Normal 2">
  <tableColumns count="8">
    <tableColumn id="1" uniqueName="1" name="AGE_LEVEL_HUSBD_ARB" totalsRowLabel="المجموع" queryTableFieldId="1" headerRowDxfId="1866" dataDxfId="1865" totalsRowDxfId="1864" headerRowCellStyle="Normal 2" dataCellStyle="Normal 2"/>
    <tableColumn id="2" uniqueName="2" name="NO_WIFE_0" totalsRowFunction="sum" queryTableFieldId="2" headerRowDxfId="1863" dataDxfId="1862" totalsRowDxfId="1861" headerRowCellStyle="Normal 2" dataCellStyle="Normal 2"/>
    <tableColumn id="3" uniqueName="3" name="NO_WIFE_1" totalsRowFunction="sum" queryTableFieldId="3" headerRowDxfId="1860" dataDxfId="1859" totalsRowDxfId="1858" headerRowCellStyle="Normal 2" dataCellStyle="Normal 2"/>
    <tableColumn id="4" uniqueName="4" name="NO_WIFE_2" totalsRowFunction="sum" queryTableFieldId="4" headerRowDxfId="1857" dataDxfId="1856" totalsRowDxfId="1855" headerRowCellStyle="Normal 2" dataCellStyle="Normal 2"/>
    <tableColumn id="5" uniqueName="5" name="NO_WIFE_3" totalsRowFunction="sum" queryTableFieldId="5" headerRowDxfId="1854" dataDxfId="1853" totalsRowDxfId="1852" headerRowCellStyle="Normal 2" dataCellStyle="Normal 2"/>
    <tableColumn id="6" uniqueName="6" name="NO_WIFE_NOT_STATED" totalsRowFunction="sum" queryTableFieldId="6" headerRowDxfId="1851" dataDxfId="1850" totalsRowDxfId="1849" headerRowCellStyle="Normal 2" dataCellStyle="Normal 2"/>
    <tableColumn id="7" uniqueName="7" name="TOTAL" totalsRowFunction="sum" queryTableFieldId="7" headerRowDxfId="1848" dataDxfId="1847" totalsRowDxfId="1846" headerRowCellStyle="Normal 2" dataCellStyle="Normal 2"/>
    <tableColumn id="8" uniqueName="8" name="AGE_LEVEL_HUSBD_ENG" totalsRowLabel="Total" queryTableFieldId="8" headerRowDxfId="1845" dataDxfId="1844" totalsRowDxfId="1843" headerRowCellStyle="Normal 2" dataCellStyle="Normal 2"/>
  </tableColumns>
  <tableStyleInfo name="VITAL" showFirstColumn="0" showLastColumn="0" showRowStripes="1" showColumnStripes="0"/>
</table>
</file>

<file path=xl/tables/table13.xml><?xml version="1.0" encoding="utf-8"?>
<table xmlns="http://schemas.openxmlformats.org/spreadsheetml/2006/main" id="13" name="Table_Default__XLS_TAB_13_1" displayName="Table_Default__XLS_TAB_13_1" ref="A9:H23" tableType="queryTable" headerRowCount="0" totalsRowCount="1" headerRowDxfId="1842" dataDxfId="1841" totalsRowDxfId="1840" totalsRowBorderDxfId="1839">
  <tableColumns count="8">
    <tableColumn id="1" uniqueName="1" name="AGE_LEVEL_HUSBD_ARB" totalsRowLabel="المجموع" queryTableFieldId="1" headerRowDxfId="1838" dataDxfId="1837" totalsRowDxfId="1836" headerRowCellStyle="Normal 2" dataCellStyle="Normal 2"/>
    <tableColumn id="2" uniqueName="2" name="NEVER_MARR" totalsRowFunction="sum" queryTableFieldId="2" headerRowDxfId="1835" dataDxfId="1834" totalsRowDxfId="1833" headerRowCellStyle="Normal 2" dataCellStyle="Normal 2"/>
    <tableColumn id="3" uniqueName="3" name="MARRIED" totalsRowFunction="sum" queryTableFieldId="3" headerRowDxfId="1832" dataDxfId="1831" totalsRowDxfId="1830" headerRowCellStyle="Normal 2" dataCellStyle="Normal 2"/>
    <tableColumn id="4" uniqueName="4" name="DIVORCES" totalsRowFunction="sum" queryTableFieldId="4" headerRowDxfId="1829" dataDxfId="1828" totalsRowDxfId="1827" headerRowCellStyle="Normal 2" dataCellStyle="Normal 2"/>
    <tableColumn id="5" uniqueName="5" name="WIDOWED" totalsRowFunction="sum" queryTableFieldId="5" headerRowDxfId="1826" dataDxfId="1825" totalsRowDxfId="1824" headerRowCellStyle="Normal 2" dataCellStyle="Normal 2"/>
    <tableColumn id="6" uniqueName="6" name="NOT_STATED" totalsRowFunction="sum" queryTableFieldId="6" headerRowDxfId="1823" dataDxfId="1822" totalsRowDxfId="1821" headerRowCellStyle="Normal 2" dataCellStyle="Normal 2"/>
    <tableColumn id="7" uniqueName="7" name="TOTAL" totalsRowFunction="sum" queryTableFieldId="7" headerRowDxfId="1820" dataDxfId="1819" totalsRowDxfId="1818" headerRowCellStyle="Normal 2" dataCellStyle="Normal 2"/>
    <tableColumn id="8" uniqueName="8" name="AGE_LEVEL_HUSBD_ENG" totalsRowLabel="Total" queryTableFieldId="8" headerRowDxfId="1817" dataDxfId="1816" totalsRowDxfId="1815" headerRowCellStyle="Normal 2" dataCellStyle="Normal 2"/>
  </tableColumns>
  <tableStyleInfo name="VITAL" showFirstColumn="0" showLastColumn="0" showRowStripes="1" showColumnStripes="0"/>
</table>
</file>

<file path=xl/tables/table14.xml><?xml version="1.0" encoding="utf-8"?>
<table xmlns="http://schemas.openxmlformats.org/spreadsheetml/2006/main" id="14" name="Table_Default__XLS_TAB_13_2" displayName="Table_Default__XLS_TAB_13_2" ref="A9:H23" tableType="queryTable" headerRowCount="0" totalsRowCount="1" dataDxfId="1814" totalsRowDxfId="1812" tableBorderDxfId="1813" totalsRowBorderDxfId="1811" dataCellStyle="Normal 2">
  <tableColumns count="8">
    <tableColumn id="1" uniqueName="1" name="AGE_LEVEL_HUSBD_ARB" totalsRowLabel="المجموع" queryTableFieldId="1" headerRowDxfId="1810" dataDxfId="1809" totalsRowDxfId="1808" headerRowCellStyle="Normal 2" dataCellStyle="Normal 2"/>
    <tableColumn id="2" uniqueName="2" name="NEVER_MARR" totalsRowFunction="sum" queryTableFieldId="2" headerRowDxfId="1807" dataDxfId="1806" totalsRowDxfId="1805" headerRowCellStyle="Normal 2" dataCellStyle="Normal 2"/>
    <tableColumn id="3" uniqueName="3" name="MARRIED" totalsRowFunction="sum" queryTableFieldId="3" headerRowDxfId="1804" dataDxfId="1803" totalsRowDxfId="1802" headerRowCellStyle="Normal 2" dataCellStyle="Normal 2"/>
    <tableColumn id="4" uniqueName="4" name="DIVORCES" totalsRowFunction="sum" queryTableFieldId="4" headerRowDxfId="1801" dataDxfId="1800" totalsRowDxfId="1799" headerRowCellStyle="Normal 2" dataCellStyle="Normal 2"/>
    <tableColumn id="5" uniqueName="5" name="WIDOWED" totalsRowFunction="sum" queryTableFieldId="5" headerRowDxfId="1798" dataDxfId="1797" totalsRowDxfId="1796" headerRowCellStyle="Normal 2" dataCellStyle="Normal 2"/>
    <tableColumn id="6" uniqueName="6" name="NOT_STATED" totalsRowFunction="sum" queryTableFieldId="6" headerRowDxfId="1795" dataDxfId="1794" totalsRowDxfId="1793" headerRowCellStyle="Normal 2" dataCellStyle="Normal 2"/>
    <tableColumn id="7" uniqueName="7" name="TOTAL" totalsRowFunction="sum" queryTableFieldId="7" headerRowDxfId="1792" dataDxfId="1791" totalsRowDxfId="1790" headerRowCellStyle="Normal 2" dataCellStyle="Normal 2"/>
    <tableColumn id="8" uniqueName="8" name="AGE_LEVEL_HUSBD_ENG" totalsRowLabel="Total" queryTableFieldId="8" headerRowDxfId="1789" dataDxfId="1788" totalsRowDxfId="1787" headerRowCellStyle="Normal 2" dataCellStyle="Normal 2"/>
  </tableColumns>
  <tableStyleInfo name="VITAL" showFirstColumn="0" showLastColumn="0" showRowStripes="1" showColumnStripes="0"/>
</table>
</file>

<file path=xl/tables/table15.xml><?xml version="1.0" encoding="utf-8"?>
<table xmlns="http://schemas.openxmlformats.org/spreadsheetml/2006/main" id="15" name="Table_Default__XLS_TAB_13_3" displayName="Table_Default__XLS_TAB_13_3" ref="A9:H23" tableType="queryTable" headerRowCount="0" totalsRowCount="1" dataDxfId="1786" totalsRowDxfId="1784" tableBorderDxfId="1785" totalsRowBorderDxfId="1783" dataCellStyle="Normal 2">
  <tableColumns count="8">
    <tableColumn id="1" uniqueName="1" name="AGE_LEVEL_HUSBD_ARB" totalsRowLabel="المجموع" queryTableFieldId="1" headerRowDxfId="1782" dataDxfId="1781" totalsRowDxfId="1780" headerRowCellStyle="Normal 2" dataCellStyle="Normal 2"/>
    <tableColumn id="2" uniqueName="2" name="NEVER_MARR" totalsRowFunction="sum" queryTableFieldId="2" headerRowDxfId="1779" dataDxfId="1778" totalsRowDxfId="1777" headerRowCellStyle="Normal 2" dataCellStyle="Normal 2"/>
    <tableColumn id="3" uniqueName="3" name="MARRIED" totalsRowFunction="sum" queryTableFieldId="3" headerRowDxfId="1776" dataDxfId="1775" totalsRowDxfId="1774" headerRowCellStyle="Normal 2" dataCellStyle="Normal 2"/>
    <tableColumn id="4" uniqueName="4" name="DIVORCES" totalsRowFunction="sum" queryTableFieldId="4" headerRowDxfId="1773" dataDxfId="1772" totalsRowDxfId="1771" headerRowCellStyle="Normal 2" dataCellStyle="Normal 2"/>
    <tableColumn id="5" uniqueName="5" name="WIDOWED" totalsRowFunction="sum" queryTableFieldId="5" headerRowDxfId="1770" dataDxfId="1769" totalsRowDxfId="1768" headerRowCellStyle="Normal 2" dataCellStyle="Normal 2"/>
    <tableColumn id="6" uniqueName="6" name="NOT_STATED" totalsRowFunction="sum" queryTableFieldId="6" headerRowDxfId="1767" dataDxfId="1766" totalsRowDxfId="1765" headerRowCellStyle="Normal 2" dataCellStyle="Normal 2"/>
    <tableColumn id="7" uniqueName="7" name="TOTAL" totalsRowFunction="sum" queryTableFieldId="7" headerRowDxfId="1764" dataDxfId="1763" totalsRowDxfId="1762" headerRowCellStyle="Normal 2" dataCellStyle="Normal 2"/>
    <tableColumn id="8" uniqueName="8" name="AGE_LEVEL_HUSBD_ENG" totalsRowLabel="Total" queryTableFieldId="8" headerRowDxfId="1761" dataDxfId="1760" totalsRowDxfId="1759" headerRowCellStyle="Normal 2" dataCellStyle="Normal 2"/>
  </tableColumns>
  <tableStyleInfo name="VITAL" showFirstColumn="0" showLastColumn="0" showRowStripes="1" showColumnStripes="0"/>
</table>
</file>

<file path=xl/tables/table16.xml><?xml version="1.0" encoding="utf-8"?>
<table xmlns="http://schemas.openxmlformats.org/spreadsheetml/2006/main" id="16" name="Table_Default__XLS_TAB_14_1" displayName="Table_Default__XLS_TAB_14_1" ref="A9:G20" tableType="queryTable" headerRowCount="0" totalsRowCount="1" dataDxfId="1758" totalsRowDxfId="1756" tableBorderDxfId="1757" totalsRowBorderDxfId="1755" dataCellStyle="Normal 2">
  <tableColumns count="7">
    <tableColumn id="1" uniqueName="1" name="AGE_LEVEL_HUSBD_ARB" totalsRowLabel="المجموع" queryTableFieldId="1" headerRowDxfId="1754" dataDxfId="1753" totalsRowDxfId="1752" headerRowCellStyle="Normal 2" dataCellStyle="Normal 2"/>
    <tableColumn id="2" uniqueName="2" name="NOT_MARRIED" totalsRowFunction="sum" queryTableFieldId="2" headerRowDxfId="1751" dataDxfId="1750" totalsRowDxfId="1749" headerRowCellStyle="Normal 2" dataCellStyle="Normal 2"/>
    <tableColumn id="3" uniqueName="3" name="DIVORCES" totalsRowFunction="sum" queryTableFieldId="3" headerRowDxfId="1748" dataDxfId="1747" totalsRowDxfId="1746" headerRowCellStyle="Normal 2" dataCellStyle="Normal 2"/>
    <tableColumn id="4" uniqueName="4" name="WIDOWED" totalsRowFunction="sum" queryTableFieldId="4" headerRowDxfId="1745" dataDxfId="1744" totalsRowDxfId="1743" headerRowCellStyle="Normal 2" dataCellStyle="Normal 2"/>
    <tableColumn id="5" uniqueName="5" name="NOT_STATED" totalsRowFunction="sum" queryTableFieldId="5" headerRowDxfId="1742" dataDxfId="1741" totalsRowDxfId="1740" headerRowCellStyle="Normal 2" dataCellStyle="Normal 2"/>
    <tableColumn id="6" uniqueName="6" name="TOTAL" totalsRowFunction="sum" queryTableFieldId="6" headerRowDxfId="1739" dataDxfId="1738" totalsRowDxfId="1737" headerRowCellStyle="Normal 2" dataCellStyle="Normal 2"/>
    <tableColumn id="7" uniqueName="7" name="AGE_LEVEL_HUSBD_ENG" totalsRowLabel="Total" queryTableFieldId="7" headerRowDxfId="1736" dataDxfId="1735" totalsRowDxfId="1734" headerRowCellStyle="Normal 2" dataCellStyle="Normal 2"/>
  </tableColumns>
  <tableStyleInfo name="VITAL" showFirstColumn="0" showLastColumn="0" showRowStripes="1" showColumnStripes="0"/>
</table>
</file>

<file path=xl/tables/table17.xml><?xml version="1.0" encoding="utf-8"?>
<table xmlns="http://schemas.openxmlformats.org/spreadsheetml/2006/main" id="17" name="Table_Default__XLS_TAB_14_2" displayName="Table_Default__XLS_TAB_14_2" ref="A9:G20" tableType="queryTable" headerRowCount="0" totalsRowCount="1" headerRowDxfId="1733" dataDxfId="1732" totalsRowDxfId="1730" tableBorderDxfId="1731" totalsRowBorderDxfId="1729" dataCellStyle="Normal 2" totalsRowCellStyle="Normal 2">
  <tableColumns count="7">
    <tableColumn id="1" uniqueName="1" name="AGE_LEVEL_HUSBD_ARB" totalsRowLabel="المجموع" queryTableFieldId="1" headerRowDxfId="1728" dataDxfId="1727" totalsRowDxfId="1726" headerRowCellStyle="Normal 2" dataCellStyle="Normal 2"/>
    <tableColumn id="2" uniqueName="2" name="NOT_MARRIED" totalsRowFunction="sum" queryTableFieldId="2" headerRowDxfId="1725" dataDxfId="1724" totalsRowDxfId="1723" headerRowCellStyle="Normal 2" dataCellStyle="Normal 2"/>
    <tableColumn id="3" uniqueName="3" name="DIVORCES" totalsRowFunction="sum" queryTableFieldId="3" headerRowDxfId="1722" dataDxfId="1721" totalsRowDxfId="1720" headerRowCellStyle="Normal 2" dataCellStyle="Normal 2"/>
    <tableColumn id="4" uniqueName="4" name="WIDOWED" totalsRowFunction="sum" queryTableFieldId="4" headerRowDxfId="1719" dataDxfId="1718" totalsRowDxfId="1717" headerRowCellStyle="Normal 2" dataCellStyle="Normal 2"/>
    <tableColumn id="5" uniqueName="5" name="NOT_STATED" totalsRowFunction="sum" queryTableFieldId="5" headerRowDxfId="1716" dataDxfId="1715" totalsRowDxfId="1714" headerRowCellStyle="Normal 2" dataCellStyle="Normal 2"/>
    <tableColumn id="6" uniqueName="6" name="TOTAL" totalsRowFunction="sum" queryTableFieldId="6" headerRowDxfId="1713" dataDxfId="1712" totalsRowDxfId="1711" headerRowCellStyle="Normal 2" dataCellStyle="Normal 2"/>
    <tableColumn id="7" uniqueName="7" name="AGE_LEVEL_HUSBD_ENG" totalsRowLabel="Total" queryTableFieldId="7" headerRowDxfId="1710" dataDxfId="1709" totalsRowDxfId="1708" headerRowCellStyle="Normal 2" dataCellStyle="Normal 2"/>
  </tableColumns>
  <tableStyleInfo name="VITAL" showFirstColumn="0" showLastColumn="0" showRowStripes="1" showColumnStripes="0"/>
</table>
</file>

<file path=xl/tables/table18.xml><?xml version="1.0" encoding="utf-8"?>
<table xmlns="http://schemas.openxmlformats.org/spreadsheetml/2006/main" id="18" name="Table_Default__XLS_TAB_14_3" displayName="Table_Default__XLS_TAB_14_3" ref="A9:G20" tableType="queryTable" headerRowCount="0" totalsRowCount="1" headerRowDxfId="1707" dataDxfId="1706" totalsRowDxfId="1704" tableBorderDxfId="1705" totalsRowBorderDxfId="1703" dataCellStyle="Normal 2" totalsRowCellStyle="Normal 2">
  <tableColumns count="7">
    <tableColumn id="1" uniqueName="1" name="AGE_LEVEL_HUSBD_ARB" totalsRowLabel="المجموع" queryTableFieldId="1" headerRowDxfId="1702" dataDxfId="1701" totalsRowDxfId="1700" headerRowCellStyle="Normal 2" dataCellStyle="Normal 2"/>
    <tableColumn id="2" uniqueName="2" name="NOT_MARRIED" totalsRowFunction="sum" queryTableFieldId="2" headerRowDxfId="1699" dataDxfId="1698" totalsRowDxfId="1697" headerRowCellStyle="Normal 2" dataCellStyle="Normal 2"/>
    <tableColumn id="3" uniqueName="3" name="DIVORCES" totalsRowFunction="sum" queryTableFieldId="3" headerRowDxfId="1696" dataDxfId="1695" totalsRowDxfId="1694" headerRowCellStyle="Normal 2" dataCellStyle="Normal 2"/>
    <tableColumn id="4" uniqueName="4" name="WIDOWED" totalsRowFunction="sum" queryTableFieldId="4" headerRowDxfId="1693" dataDxfId="1692" totalsRowDxfId="1691" headerRowCellStyle="Normal 2" dataCellStyle="Normal 2"/>
    <tableColumn id="5" uniqueName="5" name="NOT_STATED" totalsRowFunction="sum" queryTableFieldId="5" headerRowDxfId="1690" dataDxfId="1689" totalsRowDxfId="1688" headerRowCellStyle="Normal 2" dataCellStyle="Normal 2"/>
    <tableColumn id="6" uniqueName="6" name="TOTAL" totalsRowFunction="sum" queryTableFieldId="6" headerRowDxfId="1687" dataDxfId="1686" totalsRowDxfId="1685" headerRowCellStyle="Normal 2" dataCellStyle="Normal 2"/>
    <tableColumn id="7" uniqueName="7" name="AGE_LEVEL_HUSBD_ENG" totalsRowLabel="Total" queryTableFieldId="7" headerRowDxfId="1684" dataDxfId="1683" totalsRowDxfId="1682" headerRowCellStyle="Normal 2" dataCellStyle="Normal 2"/>
  </tableColumns>
  <tableStyleInfo name="VITAL" showFirstColumn="0" showLastColumn="0" showRowStripes="1" showColumnStripes="0"/>
</table>
</file>

<file path=xl/tables/table19.xml><?xml version="1.0" encoding="utf-8"?>
<table xmlns="http://schemas.openxmlformats.org/spreadsheetml/2006/main" id="19" name="Table_Default__XLS_TAB_15_1" displayName="Table_Default__XLS_TAB_15_1" ref="A8:F18" tableType="queryTable" headerRowCount="0" totalsRowCount="1" headerRowDxfId="1681" dataDxfId="1680" totalsRowDxfId="1679" totalsRowBorderDxfId="1678">
  <tableColumns count="6">
    <tableColumn id="1" uniqueName="1" name="AGE_LEVEL_ARB" totalsRowLabel="المجموع" queryTableFieldId="1" headerRowDxfId="1677" dataDxfId="1676" totalsRowDxfId="1675" headerRowCellStyle="Normal 2" dataCellStyle="Normal 2"/>
    <tableColumn id="2" uniqueName="2" name="HUSBD_CNT" totalsRowFunction="sum" queryTableFieldId="2" headerRowDxfId="1674" dataDxfId="1673" totalsRowDxfId="1672" headerRowCellStyle="Normal 2" dataCellStyle="Normal 2"/>
    <tableColumn id="3" uniqueName="3" name="WIFE_CNT" totalsRowFunction="sum" queryTableFieldId="3" headerRowDxfId="1671" dataDxfId="1670" totalsRowDxfId="1669" headerRowCellStyle="Normal 2" dataCellStyle="Normal 2"/>
    <tableColumn id="4" uniqueName="4" name="TOTAL" totalsRowFunction="sum" queryTableFieldId="4" headerRowDxfId="1668" dataDxfId="1667" totalsRowDxfId="1666" headerRowCellStyle="Normal 2" dataCellStyle="Normal 2"/>
    <tableColumn id="5" uniqueName="5" name="PSTG" totalsRowFunction="sum" queryTableFieldId="5" headerRowDxfId="1665" dataDxfId="1664" totalsRowDxfId="1663" headerRowCellStyle="Normal 2" dataCellStyle="Normal 2"/>
    <tableColumn id="6" uniqueName="6" name="AGE_LEVEL_ENG" totalsRowLabel="Total" queryTableFieldId="6" headerRowDxfId="1662" dataDxfId="1661" totalsRowDxfId="1660" headerRowCellStyle="Normal 2" dataCellStyle="Normal 2"/>
  </tableColumns>
  <tableStyleInfo name="VITAL" showFirstColumn="0" showLastColumn="0" showRowStripes="1" showColumnStripes="0"/>
</table>
</file>

<file path=xl/tables/table2.xml><?xml version="1.0" encoding="utf-8"?>
<table xmlns="http://schemas.openxmlformats.org/spreadsheetml/2006/main" id="41" name="Table_Default__XLS_TAB_2" displayName="Table_Default__XLS_TAB_2" ref="A9:N13" tableType="queryTable" headerRowCount="0" totalsRowShown="0" headerRowDxfId="2237" tableBorderDxfId="2236" totalsRowBorderDxfId="2235" headerRowCellStyle="Normal 2">
  <tableColumns count="14">
    <tableColumn id="1" uniqueName="1" name="YEAR_AR" queryTableFieldId="1" headerRowDxfId="2234" dataDxfId="2233" headerRowCellStyle="Normal 2"/>
    <tableColumn id="2" uniqueName="2" name="M_QTRI_COUNT" queryTableFieldId="2" headerRowDxfId="2232" dataDxfId="2231" headerRowCellStyle="Normal 2"/>
    <tableColumn id="3" uniqueName="3" name="M_NQTRI_COUNT" queryTableFieldId="3" headerRowDxfId="2230" dataDxfId="2229" headerRowCellStyle="Normal 2"/>
    <tableColumn id="4" uniqueName="4" name="M_QTRI_TOT_COUNT" queryTableFieldId="4" headerRowDxfId="2228" dataDxfId="2227" headerRowCellStyle="Normal 2"/>
    <tableColumn id="5" uniqueName="5" name="M_QTRI_W_COUNT" queryTableFieldId="5" headerRowDxfId="2226" dataDxfId="2225" headerRowCellStyle="Normal 2"/>
    <tableColumn id="6" uniqueName="6" name="M_NQTRI_W_COUNT" queryTableFieldId="6" headerRowDxfId="2224" dataDxfId="2223" headerRowCellStyle="Normal 2"/>
    <tableColumn id="7" uniqueName="7" name="M_QTRI_TOT_COUNT2" queryTableFieldId="7" headerRowDxfId="2222" dataDxfId="2221" headerRowCellStyle="Normal 2"/>
    <tableColumn id="8" uniqueName="8" name="D_QTRI_COUNT" queryTableFieldId="8" headerRowDxfId="2220" dataDxfId="2219" headerRowCellStyle="Normal 2"/>
    <tableColumn id="9" uniqueName="9" name="D_NQTRI_COUNT" queryTableFieldId="9" headerRowDxfId="2218" dataDxfId="2217" headerRowCellStyle="Normal 2"/>
    <tableColumn id="10" uniqueName="10" name="D_QTRI_TOT_COUNT" queryTableFieldId="10" headerRowDxfId="2216" dataDxfId="2215" headerRowCellStyle="Normal 2"/>
    <tableColumn id="11" uniqueName="11" name="D_QTRI_W_COUNT" queryTableFieldId="11" headerRowDxfId="2214" dataDxfId="2213" headerRowCellStyle="Normal 2"/>
    <tableColumn id="12" uniqueName="12" name="D_NQTRI_W_COUNT" queryTableFieldId="12" headerRowDxfId="2212" dataDxfId="2211" headerRowCellStyle="Normal 2"/>
    <tableColumn id="13" uniqueName="13" name="D_QTRI_TOT_COUNT3" queryTableFieldId="13" headerRowDxfId="2210" dataDxfId="2209" headerRowCellStyle="Normal 2"/>
    <tableColumn id="14" uniqueName="14" name="YEAR_ENG" queryTableFieldId="14" headerRowDxfId="2208" dataDxfId="2207" headerRowCellStyle="Normal 2"/>
  </tableColumns>
  <tableStyleInfo name="VITAL" showFirstColumn="0" showLastColumn="0" showRowStripes="1" showColumnStripes="0"/>
</table>
</file>

<file path=xl/tables/table20.xml><?xml version="1.0" encoding="utf-8"?>
<table xmlns="http://schemas.openxmlformats.org/spreadsheetml/2006/main" id="20" name="Table_Default__XLS_TAB_15_2" displayName="Table_Default__XLS_TAB_15_2" ref="A8:F18" tableType="queryTable" headerRowCount="0" totalsRowCount="1" totalsRowDxfId="1657" headerRowBorderDxfId="1659" tableBorderDxfId="1658" totalsRowBorderDxfId="1656">
  <tableColumns count="6">
    <tableColumn id="1" uniqueName="1" name="AGE_LEVEL_ARB" totalsRowLabel="المجموع" queryTableFieldId="1" headerRowDxfId="1655" dataDxfId="1654" totalsRowDxfId="1653" headerRowCellStyle="Normal 2" dataCellStyle="Normal 2"/>
    <tableColumn id="2" uniqueName="2" name="HUSBD_CNT" totalsRowFunction="sum" queryTableFieldId="2" headerRowDxfId="1652" dataDxfId="1651" totalsRowDxfId="1650" headerRowCellStyle="Normal 2" dataCellStyle="Normal 2"/>
    <tableColumn id="3" uniqueName="3" name="WIFE_CNT" totalsRowFunction="sum" queryTableFieldId="3" headerRowDxfId="1649" dataDxfId="1648" totalsRowDxfId="1647" headerRowCellStyle="Normal 2" dataCellStyle="Normal 2"/>
    <tableColumn id="4" uniqueName="4" name="TOTAL" totalsRowFunction="sum" queryTableFieldId="4" headerRowDxfId="1646" dataDxfId="1645" totalsRowDxfId="1644" headerRowCellStyle="Normal 2" dataCellStyle="Normal 2"/>
    <tableColumn id="5" uniqueName="5" name="PSTG" totalsRowFunction="sum" queryTableFieldId="5" headerRowDxfId="1643" dataDxfId="1642" totalsRowDxfId="1641" headerRowCellStyle="Normal 2" dataCellStyle="Normal 2"/>
    <tableColumn id="6" uniqueName="6" name="AGE_LEVEL_ENG" totalsRowLabel="Total" queryTableFieldId="6" headerRowDxfId="1640" dataDxfId="1639" totalsRowDxfId="1638" headerRowCellStyle="Normal 2" dataCellStyle="Normal 2"/>
  </tableColumns>
  <tableStyleInfo name="VITAL" showFirstColumn="0" showLastColumn="0" showRowStripes="1" showColumnStripes="0"/>
</table>
</file>

<file path=xl/tables/table21.xml><?xml version="1.0" encoding="utf-8"?>
<table xmlns="http://schemas.openxmlformats.org/spreadsheetml/2006/main" id="21" name="Table_Default__XLS_TAB_15_3" displayName="Table_Default__XLS_TAB_15_3" ref="A8:F18" tableType="queryTable" headerRowCount="0" totalsRowCount="1" totalsRowDxfId="1635" headerRowBorderDxfId="1637" tableBorderDxfId="1636" totalsRowBorderDxfId="1634">
  <tableColumns count="6">
    <tableColumn id="1" uniqueName="1" name="AGE_LEVEL_ARB" totalsRowLabel="المجموع" queryTableFieldId="1" headerRowDxfId="1633" dataDxfId="1632" totalsRowDxfId="1631" headerRowCellStyle="Normal 2" dataCellStyle="Normal 2"/>
    <tableColumn id="2" uniqueName="2" name="HUSBD_CNT" totalsRowFunction="sum" queryTableFieldId="2" headerRowDxfId="1630" dataDxfId="1629" totalsRowDxfId="1628" headerRowCellStyle="Normal 2" dataCellStyle="Normal 2"/>
    <tableColumn id="3" uniqueName="3" name="WIFE_CNT" totalsRowFunction="sum" queryTableFieldId="3" headerRowDxfId="1627" dataDxfId="1626" totalsRowDxfId="1625" headerRowCellStyle="Normal 2" dataCellStyle="Normal 2"/>
    <tableColumn id="4" uniqueName="4" name="TOTAL" totalsRowFunction="sum" queryTableFieldId="4" headerRowDxfId="1624" dataDxfId="1623" totalsRowDxfId="1622" headerRowCellStyle="Normal 2" dataCellStyle="Normal 2"/>
    <tableColumn id="5" uniqueName="5" name="PSTG" totalsRowFunction="sum" queryTableFieldId="5" headerRowDxfId="1621" dataDxfId="1620" totalsRowDxfId="1619" headerRowCellStyle="Normal 2" dataCellStyle="Normal 2"/>
    <tableColumn id="6" uniqueName="6" name="AGE_LEVEL_ENG" totalsRowLabel="Total" queryTableFieldId="6" headerRowDxfId="1618" dataDxfId="1617" totalsRowDxfId="1616" headerRowCellStyle="Normal 2" dataCellStyle="Normal 2"/>
  </tableColumns>
  <tableStyleInfo name="VITAL" showFirstColumn="0" showLastColumn="0" showRowStripes="1" showColumnStripes="0"/>
</table>
</file>

<file path=xl/tables/table22.xml><?xml version="1.0" encoding="utf-8"?>
<table xmlns="http://schemas.openxmlformats.org/spreadsheetml/2006/main" id="22" name="Table_Default__XLS_TAB_16_1" displayName="Table_Default__XLS_TAB_16_1" ref="B9:J17" tableType="queryTable" headerRowCount="0" totalsRowCount="1" headerRowDxfId="1615" dataDxfId="1614" totalsRowDxfId="1613" totalsRowBorderDxfId="1612">
  <tableColumns count="9">
    <tableColumn id="1" uniqueName="1" name="ILLITERATE_CNT" totalsRowFunction="sum" queryTableFieldId="1" headerRowDxfId="1611" dataDxfId="1610" totalsRowDxfId="1609" headerRowCellStyle="Normal 2" dataCellStyle="Normal 2"/>
    <tableColumn id="2" uniqueName="2" name="READ_AND_WRITE_CNT" totalsRowFunction="sum" queryTableFieldId="2" headerRowDxfId="1608" dataDxfId="1607" totalsRowDxfId="1606" headerRowCellStyle="Normal 2" dataCellStyle="Normal 2"/>
    <tableColumn id="3" uniqueName="3" name="PRIMARY_CNT" totalsRowFunction="sum" queryTableFieldId="3" headerRowDxfId="1605" dataDxfId="1604" totalsRowDxfId="1603" headerRowCellStyle="Normal 2" dataCellStyle="Normal 2"/>
    <tableColumn id="4" uniqueName="4" name="PREPARATORY_CNT" totalsRowFunction="sum" queryTableFieldId="4" headerRowDxfId="1602" dataDxfId="1601" totalsRowDxfId="1600" headerRowCellStyle="Normal 2" dataCellStyle="Normal 2"/>
    <tableColumn id="5" uniqueName="5" name="SECONDARY_CNT" totalsRowFunction="sum" queryTableFieldId="5" headerRowDxfId="1599" dataDxfId="1598" totalsRowDxfId="1597" headerRowCellStyle="Normal 2" dataCellStyle="Normal 2"/>
    <tableColumn id="6" uniqueName="6" name="PRE_UNIVERSITY_CNT" totalsRowFunction="sum" queryTableFieldId="6" headerRowDxfId="1596" dataDxfId="1595" totalsRowDxfId="1594" headerRowCellStyle="Normal 2" dataCellStyle="Normal 2"/>
    <tableColumn id="7" uniqueName="7" name="UNIV_ABOVE_CNT" totalsRowFunction="sum" queryTableFieldId="7" headerRowDxfId="1593" dataDxfId="1592" totalsRowDxfId="1591" headerRowCellStyle="Normal 2" dataCellStyle="Normal 2"/>
    <tableColumn id="8" uniqueName="8" name="NOT_STATED_CNT" totalsRowFunction="sum" queryTableFieldId="8" headerRowDxfId="1590" dataDxfId="1589" totalsRowDxfId="1588" headerRowCellStyle="Normal 2" dataCellStyle="Normal 2"/>
    <tableColumn id="9" uniqueName="9" name="TOTAL" totalsRowFunction="sum" queryTableFieldId="9" headerRowDxfId="1587" dataDxfId="1586" totalsRowDxfId="1585" headerRowCellStyle="Normal 2" dataCellStyle="Normal 2"/>
  </tableColumns>
  <tableStyleInfo name="VITAL" showFirstColumn="0" showLastColumn="0" showRowStripes="1" showColumnStripes="0"/>
</table>
</file>

<file path=xl/tables/table23.xml><?xml version="1.0" encoding="utf-8"?>
<table xmlns="http://schemas.openxmlformats.org/spreadsheetml/2006/main" id="23" name="Table_Default__XLS_TAB_16_2" displayName="Table_Default__XLS_TAB_16_2" ref="B9:J17" tableType="queryTable" headerRowCount="0" totalsRowCount="1" headerRowDxfId="1584" dataDxfId="1583" totalsRowDxfId="1581" tableBorderDxfId="1582" totalsRowBorderDxfId="1580" headerRowCellStyle="Normal 2" dataCellStyle="Normal 2">
  <tableColumns count="9">
    <tableColumn id="1" uniqueName="1" name="ILLITERATE_CNT" totalsRowFunction="sum" queryTableFieldId="1" headerRowDxfId="1579" dataDxfId="1578" totalsRowDxfId="1577" headerRowCellStyle="Normal 2" dataCellStyle="Normal 2"/>
    <tableColumn id="2" uniqueName="2" name="READ_AND_WRITE_CNT" totalsRowFunction="sum" queryTableFieldId="2" headerRowDxfId="1576" dataDxfId="1575" totalsRowDxfId="1574" headerRowCellStyle="Normal 2" dataCellStyle="Normal 2"/>
    <tableColumn id="3" uniqueName="3" name="PRIMARY_CNT" totalsRowFunction="sum" queryTableFieldId="3" headerRowDxfId="1573" dataDxfId="1572" totalsRowDxfId="1571" headerRowCellStyle="Normal 2" dataCellStyle="Normal 2"/>
    <tableColumn id="4" uniqueName="4" name="PREPARATORY_CNT" totalsRowFunction="sum" queryTableFieldId="4" headerRowDxfId="1570" dataDxfId="1569" totalsRowDxfId="1568" headerRowCellStyle="Normal 2" dataCellStyle="Normal 2"/>
    <tableColumn id="5" uniqueName="5" name="SECONDARY_CNT" totalsRowFunction="sum" queryTableFieldId="5" headerRowDxfId="1567" dataDxfId="1566" totalsRowDxfId="1565" headerRowCellStyle="Normal 2" dataCellStyle="Normal 2"/>
    <tableColumn id="6" uniqueName="6" name="PRE_UNIVERSITY_CNT" totalsRowFunction="sum" queryTableFieldId="6" headerRowDxfId="1564" dataDxfId="1563" totalsRowDxfId="1562" headerRowCellStyle="Normal 2" dataCellStyle="Normal 2"/>
    <tableColumn id="7" uniqueName="7" name="UNIV_ABOVE_CNT" totalsRowFunction="sum" queryTableFieldId="7" headerRowDxfId="1561" dataDxfId="1560" totalsRowDxfId="1559" headerRowCellStyle="Normal 2" dataCellStyle="Normal 2"/>
    <tableColumn id="8" uniqueName="8" name="NOT_STATED_CNT" totalsRowFunction="sum" queryTableFieldId="8" headerRowDxfId="1558" dataDxfId="1557" totalsRowDxfId="1556" headerRowCellStyle="Normal 2" dataCellStyle="Normal 2"/>
    <tableColumn id="9" uniqueName="9" name="TOTAL" totalsRowFunction="sum" queryTableFieldId="9" headerRowDxfId="1555" dataDxfId="1554" totalsRowDxfId="1553" headerRowCellStyle="Normal 2" dataCellStyle="Normal 2"/>
  </tableColumns>
  <tableStyleInfo name="VITAL" showFirstColumn="0" showLastColumn="0" showRowStripes="1" showColumnStripes="0"/>
</table>
</file>

<file path=xl/tables/table24.xml><?xml version="1.0" encoding="utf-8"?>
<table xmlns="http://schemas.openxmlformats.org/spreadsheetml/2006/main" id="24" name="Table_Default__XLS_TAB_16_3" displayName="Table_Default__XLS_TAB_16_3" ref="B9:J17" tableType="queryTable" headerRowCount="0" totalsRowCount="1" headerRowDxfId="1552" dataDxfId="1551" totalsRowDxfId="1549" tableBorderDxfId="1550" totalsRowBorderDxfId="1548" dataCellStyle="Normal 2">
  <tableColumns count="9">
    <tableColumn id="1" uniqueName="1" name="ILLITERATE_CNT" totalsRowFunction="sum" queryTableFieldId="1" headerRowDxfId="1547" dataDxfId="1546" totalsRowDxfId="1545" headerRowCellStyle="Normal 2" dataCellStyle="Normal 2"/>
    <tableColumn id="2" uniqueName="2" name="READ_AND_WRITE_CNT" totalsRowFunction="sum" queryTableFieldId="2" headerRowDxfId="1544" dataDxfId="1543" totalsRowDxfId="1542" headerRowCellStyle="Normal 2" dataCellStyle="Normal 2"/>
    <tableColumn id="3" uniqueName="3" name="PRIMARY_CNT" totalsRowFunction="sum" queryTableFieldId="3" headerRowDxfId="1541" dataDxfId="1540" totalsRowDxfId="1539" headerRowCellStyle="Normal 2" dataCellStyle="Normal 2"/>
    <tableColumn id="4" uniqueName="4" name="PREPARATORY_CNT" totalsRowFunction="sum" queryTableFieldId="4" headerRowDxfId="1538" dataDxfId="1537" totalsRowDxfId="1536" headerRowCellStyle="Normal 2" dataCellStyle="Normal 2"/>
    <tableColumn id="5" uniqueName="5" name="SECONDARY_CNT" totalsRowFunction="sum" queryTableFieldId="5" headerRowDxfId="1535" dataDxfId="1534" totalsRowDxfId="1533" headerRowCellStyle="Normal 2" dataCellStyle="Normal 2"/>
    <tableColumn id="6" uniqueName="6" name="PRE_UNIVERSITY_CNT" totalsRowFunction="sum" queryTableFieldId="6" headerRowDxfId="1532" dataDxfId="1531" totalsRowDxfId="1530" headerRowCellStyle="Normal 2" dataCellStyle="Normal 2"/>
    <tableColumn id="7" uniqueName="7" name="UNIV_ABOVE_CNT" totalsRowFunction="sum" queryTableFieldId="7" headerRowDxfId="1529" dataDxfId="1528" totalsRowDxfId="1527" headerRowCellStyle="Normal 2" dataCellStyle="Normal 2"/>
    <tableColumn id="8" uniqueName="8" name="NOT_STATED_CNT" totalsRowFunction="sum" queryTableFieldId="8" headerRowDxfId="1526" dataDxfId="1525" totalsRowDxfId="1524" headerRowCellStyle="Normal 2" dataCellStyle="Normal 2"/>
    <tableColumn id="9" uniqueName="9" name="TOTAL" totalsRowFunction="sum" queryTableFieldId="9" headerRowDxfId="1523" dataDxfId="1522" totalsRowDxfId="1521" headerRowCellStyle="Normal 2" dataCellStyle="Normal 2"/>
  </tableColumns>
  <tableStyleInfo name="VITAL" showFirstColumn="0" showLastColumn="0" showRowStripes="1" showColumnStripes="0"/>
</table>
</file>

<file path=xl/tables/table25.xml><?xml version="1.0" encoding="utf-8"?>
<table xmlns="http://schemas.openxmlformats.org/spreadsheetml/2006/main" id="25" name="Table_Default__XLS_TAB_17_1" displayName="Table_Default__XLS_TAB_17_1" ref="A10:O22" tableType="queryTable" headerRowCount="0" totalsRowCount="1" headerRowDxfId="1520" totalsRowDxfId="1518" tableBorderDxfId="1519" totalsRowBorderDxfId="1517" totalsRowCellStyle="Normal 2">
  <tableColumns count="15">
    <tableColumn id="1" uniqueName="1" name="JOB_ARB" totalsRowLabel="المجموع العام  " queryTableFieldId="1" headerRowDxfId="1516" dataDxfId="1515" totalsRowDxfId="1514" headerRowCellStyle="Normal 2" dataCellStyle="Normal 2"/>
    <tableColumn id="2" uniqueName="2" name="LEGISLATORS_CNT" totalsRowFunction="custom" queryTableFieldId="2" headerRowDxfId="1513" dataDxfId="1512" totalsRowDxfId="1511" headerRowCellStyle="Normal 2" dataCellStyle="Normal 2">
      <totalsRowFormula>(SUM(B20+B21))</totalsRowFormula>
    </tableColumn>
    <tableColumn id="3" uniqueName="3" name="PROFESSIONALS_CNT" totalsRowFunction="custom" queryTableFieldId="3" headerRowDxfId="1510" dataDxfId="1509" totalsRowDxfId="1508" headerRowCellStyle="Normal 2" dataCellStyle="Normal 2">
      <totalsRowFormula>(SUM(C20+C21))</totalsRowFormula>
    </tableColumn>
    <tableColumn id="4" uniqueName="4" name="TECHNICIANS_CNT" totalsRowFunction="custom" queryTableFieldId="4" headerRowDxfId="1507" dataDxfId="1506" totalsRowDxfId="1505" headerRowCellStyle="Normal 2" dataCellStyle="Normal 2">
      <totalsRowFormula>(SUM(D20+D21))</totalsRowFormula>
    </tableColumn>
    <tableColumn id="5" uniqueName="5" name="CLERKS_CNT" totalsRowFunction="custom" queryTableFieldId="5" headerRowDxfId="1504" dataDxfId="1503" totalsRowDxfId="1502" headerRowCellStyle="Normal 2" dataCellStyle="Normal 2">
      <totalsRowFormula>(SUM(E20+E21))</totalsRowFormula>
    </tableColumn>
    <tableColumn id="6" uniqueName="6" name="SERVICE_WORKERS_CNT" totalsRowFunction="custom" queryTableFieldId="6" headerRowDxfId="1501" dataDxfId="1500" totalsRowDxfId="1499" headerRowCellStyle="Normal 2" dataCellStyle="Normal 2">
      <totalsRowFormula>(SUM(F20+F21))</totalsRowFormula>
    </tableColumn>
    <tableColumn id="7" uniqueName="7" name="SKILLED_AGRICULTURAL_CNT" totalsRowFunction="custom" queryTableFieldId="7" headerRowDxfId="1498" dataDxfId="1497" totalsRowDxfId="1496" headerRowCellStyle="Normal 2" dataCellStyle="Normal 2">
      <totalsRowFormula>(SUM(G20+G21))</totalsRowFormula>
    </tableColumn>
    <tableColumn id="8" uniqueName="8" name="CRAFT_CNT" totalsRowFunction="custom" queryTableFieldId="8" headerRowDxfId="1495" dataDxfId="1494" totalsRowDxfId="1493" headerRowCellStyle="Normal 2" dataCellStyle="Normal 2">
      <totalsRowFormula>(SUM(H20+H21))</totalsRowFormula>
    </tableColumn>
    <tableColumn id="9" uniqueName="9" name="PLANT_CNT" totalsRowFunction="custom" queryTableFieldId="9" headerRowDxfId="1492" dataDxfId="1491" totalsRowDxfId="1490" headerRowCellStyle="Normal 2" dataCellStyle="Normal 2">
      <totalsRowFormula>(SUM(I20+I21))</totalsRowFormula>
    </tableColumn>
    <tableColumn id="10" uniqueName="10" name="ELEMENTARY_OCCUPATIONS_CNT" totalsRowFunction="custom" queryTableFieldId="10" headerRowDxfId="1489" dataDxfId="1488" totalsRowDxfId="1487" headerRowCellStyle="Normal 2" dataCellStyle="Normal 2">
      <totalsRowFormula>(SUM(J20+J21))</totalsRowFormula>
    </tableColumn>
    <tableColumn id="11" uniqueName="11" name="NOT_KNOWN_CNT" totalsRowFunction="custom" queryTableFieldId="11" headerRowDxfId="1486" dataDxfId="1485" totalsRowDxfId="1484" headerRowCellStyle="Normal 2" dataCellStyle="Normal 2">
      <totalsRowFormula>(SUM(K20+K21))</totalsRowFormula>
    </tableColumn>
    <tableColumn id="12" uniqueName="12" name="TOTAL" totalsRowFunction="custom" queryTableFieldId="12" headerRowDxfId="1483" dataDxfId="1482" totalsRowDxfId="1481" headerRowCellStyle="Normal 2" dataCellStyle="Normal 2">
      <totalsRowFormula>(SUM(L20+L21))</totalsRowFormula>
    </tableColumn>
    <tableColumn id="13" uniqueName="13" name="NO_OCCUP" totalsRowFunction="custom" queryTableFieldId="13" headerRowDxfId="1480" dataDxfId="1479" totalsRowDxfId="1478" headerRowCellStyle="Normal 2" dataCellStyle="Normal 2">
      <totalsRowFormula>(SUM(M20+M21))</totalsRowFormula>
    </tableColumn>
    <tableColumn id="14" uniqueName="14" name="GRND_TOTAL" totalsRowFunction="custom" queryTableFieldId="14" headerRowDxfId="1477" dataDxfId="1476" totalsRowDxfId="1475" headerRowCellStyle="Normal 2" dataCellStyle="Normal 2">
      <totalsRowFormula>(SUM(N20+N21))</totalsRowFormula>
    </tableColumn>
    <tableColumn id="15" uniqueName="15" name="JOB_ENG" totalsRowLabel="Grand Total  " queryTableFieldId="15" headerRowDxfId="1474" dataDxfId="1473" totalsRowDxfId="1472" headerRowCellStyle="Normal 2" dataCellStyle="Normal 2"/>
  </tableColumns>
  <tableStyleInfo name="VITAL" showFirstColumn="0" showLastColumn="0" showRowStripes="1" showColumnStripes="0"/>
</table>
</file>

<file path=xl/tables/table26.xml><?xml version="1.0" encoding="utf-8"?>
<table xmlns="http://schemas.openxmlformats.org/spreadsheetml/2006/main" id="26" name="Table_Default__XLS_TAB_17_2" displayName="Table_Default__XLS_TAB_17_2" ref="A10:O22" tableType="queryTable" headerRowCount="0" totalsRowCount="1" dataDxfId="1471" totalsRowDxfId="1469" tableBorderDxfId="1470" totalsRowBorderDxfId="1468" dataCellStyle="Normal 2">
  <tableColumns count="15">
    <tableColumn id="1" uniqueName="1" name="JOB_ARB" totalsRowLabel="المجموع العام  " queryTableFieldId="1" headerRowDxfId="1467" dataDxfId="1466" totalsRowDxfId="1465" headerRowCellStyle="Normal 2" dataCellStyle="Normal 2"/>
    <tableColumn id="2" uniqueName="2" name="LEGISLATORS_CNT" totalsRowFunction="custom" queryTableFieldId="2" headerRowDxfId="1464" dataDxfId="1463" totalsRowDxfId="1462" headerRowCellStyle="Normal 2" dataCellStyle="Normal 2">
      <totalsRowFormula>SUM(B20+B21)</totalsRowFormula>
    </tableColumn>
    <tableColumn id="3" uniqueName="3" name="PROFESSIONALS_CNT" totalsRowFunction="custom" queryTableFieldId="3" headerRowDxfId="1461" dataDxfId="1460" totalsRowDxfId="1459" headerRowCellStyle="Normal 2" dataCellStyle="Normal 2">
      <totalsRowFormula>SUM(C20+C21)</totalsRowFormula>
    </tableColumn>
    <tableColumn id="4" uniqueName="4" name="TECHNICIANS_CNT" totalsRowFunction="custom" queryTableFieldId="4" headerRowDxfId="1458" dataDxfId="1457" totalsRowDxfId="1456" headerRowCellStyle="Normal 2" dataCellStyle="Normal 2">
      <totalsRowFormula>SUM(D20+D21)</totalsRowFormula>
    </tableColumn>
    <tableColumn id="5" uniqueName="5" name="CLERKS_CNT" totalsRowFunction="custom" queryTableFieldId="5" headerRowDxfId="1455" dataDxfId="1454" totalsRowDxfId="1453" headerRowCellStyle="Normal 2" dataCellStyle="Normal 2">
      <totalsRowFormula>SUM(E20+E21)</totalsRowFormula>
    </tableColumn>
    <tableColumn id="6" uniqueName="6" name="SERVICE_WORKERS_CNT" totalsRowFunction="custom" queryTableFieldId="6" headerRowDxfId="1452" dataDxfId="1451" totalsRowDxfId="1450" headerRowCellStyle="Normal 2" dataCellStyle="Normal 2">
      <totalsRowFormula>SUM(F20+F21)</totalsRowFormula>
    </tableColumn>
    <tableColumn id="7" uniqueName="7" name="SKILLED_AGRICULTURAL_CNT" totalsRowFunction="custom" queryTableFieldId="7" headerRowDxfId="1449" dataDxfId="1448" totalsRowDxfId="1447" headerRowCellStyle="Normal 2" dataCellStyle="Normal 2">
      <totalsRowFormula>SUM(G20+G21)</totalsRowFormula>
    </tableColumn>
    <tableColumn id="8" uniqueName="8" name="CRAFT_CNT" totalsRowFunction="custom" queryTableFieldId="8" headerRowDxfId="1446" dataDxfId="1445" totalsRowDxfId="1444" headerRowCellStyle="Normal 2" dataCellStyle="Normal 2">
      <totalsRowFormula>SUM(H20+H21)</totalsRowFormula>
    </tableColumn>
    <tableColumn id="9" uniqueName="9" name="PLANT_CNT" totalsRowFunction="custom" queryTableFieldId="9" headerRowDxfId="1443" dataDxfId="1442" totalsRowDxfId="1441" headerRowCellStyle="Normal 2" dataCellStyle="Normal 2">
      <totalsRowFormula>SUM(I20+I21)</totalsRowFormula>
    </tableColumn>
    <tableColumn id="10" uniqueName="10" name="ELEMENTARY_OCCUPATIONS_CNT" totalsRowFunction="custom" queryTableFieldId="10" headerRowDxfId="1440" dataDxfId="1439" totalsRowDxfId="1438" headerRowCellStyle="Normal 2" dataCellStyle="Normal 2">
      <totalsRowFormula>SUM(J20+J21)</totalsRowFormula>
    </tableColumn>
    <tableColumn id="11" uniqueName="11" name="NOT_KNOWN_CNT" totalsRowFunction="custom" queryTableFieldId="11" headerRowDxfId="1437" dataDxfId="1436" totalsRowDxfId="1435" headerRowCellStyle="Normal 2" dataCellStyle="Normal 2">
      <totalsRowFormula>SUM(K20+K21)</totalsRowFormula>
    </tableColumn>
    <tableColumn id="12" uniqueName="12" name="TOTAL" totalsRowFunction="custom" queryTableFieldId="12" headerRowDxfId="1434" dataDxfId="1433" totalsRowDxfId="1432" headerRowCellStyle="Normal 2" dataCellStyle="Normal 2">
      <totalsRowFormula>SUM(L20+L21)</totalsRowFormula>
    </tableColumn>
    <tableColumn id="13" uniqueName="13" name="NO_OCCUP" totalsRowFunction="custom" queryTableFieldId="13" headerRowDxfId="1431" dataDxfId="1430" totalsRowDxfId="1429" headerRowCellStyle="Normal 2" dataCellStyle="Normal 2">
      <totalsRowFormula>SUM(M20+M21)</totalsRowFormula>
    </tableColumn>
    <tableColumn id="14" uniqueName="14" name="GRND_TOTAL" totalsRowFunction="custom" queryTableFieldId="14" headerRowDxfId="1428" dataDxfId="1427" totalsRowDxfId="1426" headerRowCellStyle="Normal 2" dataCellStyle="Normal 2">
      <totalsRowFormula>SUM(N20+N21)</totalsRowFormula>
    </tableColumn>
    <tableColumn id="15" uniqueName="15" name="JOB_ENG" totalsRowLabel="Grand Total  " queryTableFieldId="15" headerRowDxfId="1425" dataDxfId="1424" totalsRowDxfId="1423" headerRowCellStyle="Normal 2" dataCellStyle="Normal 2"/>
  </tableColumns>
  <tableStyleInfo name="VITAL" showFirstColumn="0" showLastColumn="0" showRowStripes="1" showColumnStripes="0"/>
</table>
</file>

<file path=xl/tables/table27.xml><?xml version="1.0" encoding="utf-8"?>
<table xmlns="http://schemas.openxmlformats.org/spreadsheetml/2006/main" id="27" name="Table_Default__XLS_TAB_17_3" displayName="Table_Default__XLS_TAB_17_3" ref="A10:O22" tableType="queryTable" headerRowCount="0" totalsRowCount="1" totalsRowDxfId="1421" tableBorderDxfId="1422" totalsRowBorderDxfId="1420">
  <tableColumns count="15">
    <tableColumn id="1" uniqueName="1" name="JOB_ARB" totalsRowLabel="المجموع العام  " queryTableFieldId="1" headerRowDxfId="1419" dataDxfId="1418" totalsRowDxfId="1417" headerRowCellStyle="Normal 2" dataCellStyle="Normal 2"/>
    <tableColumn id="2" uniqueName="2" name="LEGISLATORS_CNT" totalsRowFunction="custom" queryTableFieldId="2" headerRowDxfId="1416" dataDxfId="1415" totalsRowDxfId="1414" headerRowCellStyle="Normal 2" dataCellStyle="Normal 2">
      <totalsRowFormula>B20+B21</totalsRowFormula>
    </tableColumn>
    <tableColumn id="3" uniqueName="3" name="PROFESSIONALS_CNT" totalsRowFunction="custom" queryTableFieldId="3" headerRowDxfId="1413" dataDxfId="1412" totalsRowDxfId="1411" headerRowCellStyle="Normal 2" dataCellStyle="Normal 2">
      <totalsRowFormula>C20+C21</totalsRowFormula>
    </tableColumn>
    <tableColumn id="4" uniqueName="4" name="TECHNICIANS_CNT" totalsRowFunction="custom" queryTableFieldId="4" headerRowDxfId="1410" dataDxfId="1409" totalsRowDxfId="1408" headerRowCellStyle="Normal 2" dataCellStyle="Normal 2">
      <totalsRowFormula>D20+D21</totalsRowFormula>
    </tableColumn>
    <tableColumn id="5" uniqueName="5" name="CLERKS_CNT" totalsRowFunction="custom" queryTableFieldId="5" headerRowDxfId="1407" dataDxfId="1406" totalsRowDxfId="1405" headerRowCellStyle="Normal 2" dataCellStyle="Normal 2">
      <totalsRowFormula>E20+E21</totalsRowFormula>
    </tableColumn>
    <tableColumn id="6" uniqueName="6" name="SERVICE_WORKERS_CNT" totalsRowFunction="custom" queryTableFieldId="6" headerRowDxfId="1404" dataDxfId="1403" totalsRowDxfId="1402" headerRowCellStyle="Normal 2" dataCellStyle="Normal 2">
      <totalsRowFormula>F20+F21</totalsRowFormula>
    </tableColumn>
    <tableColumn id="7" uniqueName="7" name="SKILLED_AGRICULTURAL_CNT" totalsRowFunction="custom" queryTableFieldId="7" headerRowDxfId="1401" dataDxfId="1400" totalsRowDxfId="1399" headerRowCellStyle="Normal 2" dataCellStyle="Normal 2">
      <totalsRowFormula>G20+G21</totalsRowFormula>
    </tableColumn>
    <tableColumn id="8" uniqueName="8" name="CRAFT_CNT" totalsRowFunction="custom" queryTableFieldId="8" headerRowDxfId="1398" dataDxfId="1397" totalsRowDxfId="1396" headerRowCellStyle="Normal 2" dataCellStyle="Normal 2">
      <totalsRowFormula>H20+H21</totalsRowFormula>
    </tableColumn>
    <tableColumn id="9" uniqueName="9" name="PLANT_CNT" totalsRowFunction="custom" queryTableFieldId="9" headerRowDxfId="1395" dataDxfId="1394" totalsRowDxfId="1393" headerRowCellStyle="Normal 2" dataCellStyle="Normal 2">
      <totalsRowFormula>I20+I21</totalsRowFormula>
    </tableColumn>
    <tableColumn id="10" uniqueName="10" name="ELEMENTARY_OCCUPATIONS_CNT" totalsRowFunction="custom" queryTableFieldId="10" headerRowDxfId="1392" dataDxfId="1391" totalsRowDxfId="1390" headerRowCellStyle="Normal 2" dataCellStyle="Normal 2">
      <totalsRowFormula>J20+J21</totalsRowFormula>
    </tableColumn>
    <tableColumn id="11" uniqueName="11" name="NOT_KNOWN_CNT" totalsRowFunction="custom" queryTableFieldId="11" headerRowDxfId="1389" dataDxfId="1388" totalsRowDxfId="1387" headerRowCellStyle="Normal 2" dataCellStyle="Normal 2">
      <totalsRowFormula>K20+K21</totalsRowFormula>
    </tableColumn>
    <tableColumn id="12" uniqueName="12" name="TOTAL" totalsRowFunction="custom" queryTableFieldId="12" headerRowDxfId="1386" dataDxfId="1385" totalsRowDxfId="1384" headerRowCellStyle="Normal 2" dataCellStyle="Normal 2">
      <totalsRowFormula>L20+L21</totalsRowFormula>
    </tableColumn>
    <tableColumn id="13" uniqueName="13" name="NO_OCCUP" totalsRowFunction="custom" queryTableFieldId="13" headerRowDxfId="1383" dataDxfId="1382" totalsRowDxfId="1381" headerRowCellStyle="Normal 2" dataCellStyle="Normal 2">
      <totalsRowFormula>M20+M21</totalsRowFormula>
    </tableColumn>
    <tableColumn id="14" uniqueName="14" name="GRND_TOTAL" totalsRowFunction="custom" queryTableFieldId="14" headerRowDxfId="1380" dataDxfId="1379" totalsRowDxfId="1378" headerRowCellStyle="Normal 2" dataCellStyle="Normal 2">
      <totalsRowFormula>N20+N21</totalsRowFormula>
    </tableColumn>
    <tableColumn id="15" uniqueName="15" name="JOB_ENG" totalsRowLabel="Grand Total  " queryTableFieldId="15" headerRowDxfId="1377" dataDxfId="1376" totalsRowDxfId="1375" headerRowCellStyle="Normal 2" dataCellStyle="Normal 2"/>
  </tableColumns>
  <tableStyleInfo name="VITAL" showFirstColumn="0" showLastColumn="0" showRowStripes="1" showColumnStripes="0"/>
</table>
</file>

<file path=xl/tables/table28.xml><?xml version="1.0" encoding="utf-8"?>
<table xmlns="http://schemas.openxmlformats.org/spreadsheetml/2006/main" id="29" name="Table_Default__XLS_TAB_18_1" displayName="Table_Default__XLS_TAB_18_1" ref="A9:N23" tableType="queryTable" headerRowCount="0" totalsRowCount="1" headerRowDxfId="1374" totalsRowDxfId="1372" tableBorderDxfId="1373" totalsRowBorderDxfId="1371">
  <tableColumns count="14">
    <tableColumn id="1" uniqueName="1" name="AGE_LEVEL_HUSBD_ARB" totalsRowLabel="المجموع" queryTableFieldId="1" headerRowDxfId="1370" dataDxfId="1369" totalsRowDxfId="1368" headerRowCellStyle="Normal 2" dataCellStyle="Normal 2"/>
    <tableColumn id="2" uniqueName="2" name="AGE_LEVEL_LESS_20" totalsRowFunction="sum" queryTableFieldId="2" headerRowDxfId="1367" dataDxfId="1366" totalsRowDxfId="1365" headerRowCellStyle="Normal 2" dataCellStyle="Normal 2"/>
    <tableColumn id="3" uniqueName="3" name="AGE_LEVEL_20_24" totalsRowFunction="sum" queryTableFieldId="3" headerRowDxfId="1364" dataDxfId="1363" totalsRowDxfId="1362" headerRowCellStyle="Normal 2" dataCellStyle="Normal 2"/>
    <tableColumn id="4" uniqueName="4" name="AGE_LEVEL_25_29" totalsRowFunction="sum" queryTableFieldId="4" headerRowDxfId="1361" dataDxfId="1360" totalsRowDxfId="1359" headerRowCellStyle="Normal 2" dataCellStyle="Normal 2"/>
    <tableColumn id="5" uniqueName="5" name="AGE_LEVEL_30_34" totalsRowFunction="sum" queryTableFieldId="5" headerRowDxfId="1358" dataDxfId="1357" totalsRowDxfId="1356" headerRowCellStyle="Normal 2" dataCellStyle="Normal 2"/>
    <tableColumn id="6" uniqueName="6" name="AGE_LEVEL_35_39" totalsRowFunction="sum" queryTableFieldId="6" headerRowDxfId="1355" dataDxfId="1354" totalsRowDxfId="1353" headerRowCellStyle="Normal 2" dataCellStyle="Normal 2"/>
    <tableColumn id="7" uniqueName="7" name="AGE_LEVEL_40_44" totalsRowFunction="sum" queryTableFieldId="7" headerRowDxfId="1352" dataDxfId="1351" totalsRowDxfId="1350" headerRowCellStyle="Normal 2" dataCellStyle="Normal 2"/>
    <tableColumn id="8" uniqueName="8" name="AGE_LEVEL_45_49" totalsRowFunction="sum" queryTableFieldId="8" headerRowDxfId="1349" dataDxfId="1348" totalsRowDxfId="1347" headerRowCellStyle="Normal 2" dataCellStyle="Normal 2"/>
    <tableColumn id="9" uniqueName="9" name="AGE_LEVEL_50_54" totalsRowFunction="sum" queryTableFieldId="9" headerRowDxfId="1346" dataDxfId="1345" totalsRowDxfId="1344" headerRowCellStyle="Normal 2" dataCellStyle="Normal 2"/>
    <tableColumn id="10" uniqueName="10" name="AGE_LEVEL_55_59" totalsRowFunction="sum" queryTableFieldId="10" headerRowDxfId="1343" dataDxfId="1342" totalsRowDxfId="1341" headerRowCellStyle="Normal 2" dataCellStyle="Normal 2"/>
    <tableColumn id="11" uniqueName="11" name="AGE_LEVEL_UP_60" totalsRowFunction="sum" queryTableFieldId="11" headerRowDxfId="1340" dataDxfId="1339" totalsRowDxfId="1338" headerRowCellStyle="Normal 2" dataCellStyle="Normal 2"/>
    <tableColumn id="12" uniqueName="12" name="AGE_LEVEL_NOT_STATED" totalsRowFunction="sum" queryTableFieldId="12" headerRowDxfId="1337" dataDxfId="1336" totalsRowDxfId="1335" headerRowCellStyle="Normal 2" dataCellStyle="Normal 2"/>
    <tableColumn id="13" uniqueName="13" name="TOTAL" totalsRowFunction="sum" queryTableFieldId="13" headerRowDxfId="1334" dataDxfId="1333" totalsRowDxfId="1332" headerRowCellStyle="Normal 2" dataCellStyle="Normal 2"/>
    <tableColumn id="14" uniqueName="14" name="AGE_LEVEL_HUSBD_ENG" totalsRowLabel="Total" queryTableFieldId="14" headerRowDxfId="1331" dataDxfId="1330" totalsRowDxfId="1329" headerRowCellStyle="Normal 2" dataCellStyle="Normal 2"/>
  </tableColumns>
  <tableStyleInfo name="VITAL" showFirstColumn="0" showLastColumn="0" showRowStripes="1" showColumnStripes="0"/>
</table>
</file>

<file path=xl/tables/table29.xml><?xml version="1.0" encoding="utf-8"?>
<table xmlns="http://schemas.openxmlformats.org/spreadsheetml/2006/main" id="30" name="Table_Default__XLS_TAB_18_2" displayName="Table_Default__XLS_TAB_18_2" ref="A9:N23" tableType="queryTable" headerRowCount="0" totalsRowCount="1" dataDxfId="1328" totalsRowDxfId="1326" tableBorderDxfId="1327" totalsRowBorderDxfId="1325" dataCellStyle="Normal 2">
  <tableColumns count="14">
    <tableColumn id="1" uniqueName="1" name="AGE_LEVEL_HUSBD_ARB" totalsRowLabel="المجموع" queryTableFieldId="1" headerRowDxfId="1324" dataDxfId="1323" totalsRowDxfId="1322" headerRowCellStyle="Normal 2" dataCellStyle="Normal 2"/>
    <tableColumn id="2" uniqueName="2" name="AGE_LEVEL_LESS_20" totalsRowFunction="sum" queryTableFieldId="2" headerRowDxfId="1321" dataDxfId="1320" totalsRowDxfId="1319" headerRowCellStyle="Normal 2" dataCellStyle="Normal 2"/>
    <tableColumn id="3" uniqueName="3" name="AGE_LEVEL_20_24" totalsRowFunction="sum" queryTableFieldId="3" headerRowDxfId="1318" dataDxfId="1317" totalsRowDxfId="1316" headerRowCellStyle="Normal 2" dataCellStyle="Normal 2"/>
    <tableColumn id="4" uniqueName="4" name="AGE_LEVEL_25_29" totalsRowFunction="sum" queryTableFieldId="4" headerRowDxfId="1315" dataDxfId="1314" totalsRowDxfId="1313" headerRowCellStyle="Normal 2" dataCellStyle="Normal 2"/>
    <tableColumn id="5" uniqueName="5" name="AGE_LEVEL_30_34" totalsRowFunction="sum" queryTableFieldId="5" headerRowDxfId="1312" dataDxfId="1311" totalsRowDxfId="1310" headerRowCellStyle="Normal 2" dataCellStyle="Normal 2"/>
    <tableColumn id="6" uniqueName="6" name="AGE_LEVEL_35_39" totalsRowFunction="sum" queryTableFieldId="6" headerRowDxfId="1309" dataDxfId="1308" totalsRowDxfId="1307" headerRowCellStyle="Normal 2" dataCellStyle="Normal 2"/>
    <tableColumn id="7" uniqueName="7" name="AGE_LEVEL_40_44" totalsRowFunction="sum" queryTableFieldId="7" headerRowDxfId="1306" dataDxfId="1305" totalsRowDxfId="1304" headerRowCellStyle="Normal 2" dataCellStyle="Normal 2"/>
    <tableColumn id="8" uniqueName="8" name="AGE_LEVEL_45_49" totalsRowFunction="sum" queryTableFieldId="8" headerRowDxfId="1303" dataDxfId="1302" totalsRowDxfId="1301" headerRowCellStyle="Normal 2" dataCellStyle="Normal 2"/>
    <tableColumn id="9" uniqueName="9" name="AGE_LEVEL_50_54" totalsRowFunction="sum" queryTableFieldId="9" headerRowDxfId="1300" dataDxfId="1299" totalsRowDxfId="1298" headerRowCellStyle="Normal 2" dataCellStyle="Normal 2"/>
    <tableColumn id="10" uniqueName="10" name="AGE_LEVEL_55_59" totalsRowFunction="sum" queryTableFieldId="10" headerRowDxfId="1297" dataDxfId="1296" totalsRowDxfId="1295" headerRowCellStyle="Normal 2" dataCellStyle="Normal 2"/>
    <tableColumn id="11" uniqueName="11" name="AGE_LEVEL_UP_60" totalsRowFunction="sum" queryTableFieldId="11" headerRowDxfId="1294" dataDxfId="1293" totalsRowDxfId="1292" headerRowCellStyle="Normal 2" dataCellStyle="Normal 2"/>
    <tableColumn id="12" uniqueName="12" name="AGE_LEVEL_NOT_STATED" totalsRowFunction="sum" queryTableFieldId="12" headerRowDxfId="1291" dataDxfId="1290" totalsRowDxfId="1289" headerRowCellStyle="Normal 2" dataCellStyle="Normal 2"/>
    <tableColumn id="13" uniqueName="13" name="TOTAL" totalsRowFunction="sum" queryTableFieldId="13" headerRowDxfId="1288" dataDxfId="1287" totalsRowDxfId="1286" headerRowCellStyle="Normal 2" dataCellStyle="Normal 2"/>
    <tableColumn id="14" uniqueName="14" name="AGE_LEVEL_HUSBD_ENG" totalsRowLabel="Total" queryTableFieldId="14" headerRowDxfId="1285" dataDxfId="1284" totalsRowDxfId="1283" headerRowCellStyle="Normal 2" dataCellStyle="Normal 2"/>
  </tableColumns>
  <tableStyleInfo name="VITAL" showFirstColumn="0" showLastColumn="0" showRowStripes="1" showColumnStripes="0"/>
</table>
</file>

<file path=xl/tables/table3.xml><?xml version="1.0" encoding="utf-8"?>
<table xmlns="http://schemas.openxmlformats.org/spreadsheetml/2006/main" id="1" name="Table_Default__XLS_TAB_7" displayName="Table_Default__XLS_TAB_7" ref="B7:G19" tableType="queryTable" headerRowCount="0" totalsRowCount="1" headerRowDxfId="2206" dataDxfId="2205" totalsRowDxfId="2204" totalsRowBorderDxfId="2203">
  <tableColumns count="6">
    <tableColumn id="1" uniqueName="1" name="M_QTRI_COUNT" totalsRowFunction="custom" queryTableFieldId="1" headerRowDxfId="2202" dataDxfId="2201" totalsRowDxfId="2200" headerRowCellStyle="TXT2" dataCellStyle="TXT2">
      <totalsRowFormula>SUM(B7:B18)</totalsRowFormula>
    </tableColumn>
    <tableColumn id="2" uniqueName="2" name="M_NQTRI_COUNT" totalsRowFunction="custom" queryTableFieldId="2" headerRowDxfId="2199" dataDxfId="2198" totalsRowDxfId="2197" headerRowCellStyle="TXT2" dataCellStyle="TXT2">
      <totalsRowFormula>SUM(Table_Default__XLS_TAB_7[M_NQTRI_COUNT])</totalsRowFormula>
    </tableColumn>
    <tableColumn id="3" uniqueName="3" name="M_QTRI_TOT_COUNT" totalsRowFunction="custom" queryTableFieldId="3" headerRowDxfId="2196" dataDxfId="2195" totalsRowDxfId="2194" headerRowCellStyle="TXT2" dataCellStyle="Total1">
      <totalsRowFormula>SUM(Table_Default__XLS_TAB_7[M_QTRI_TOT_COUNT])</totalsRowFormula>
    </tableColumn>
    <tableColumn id="4" uniqueName="4" name="W_QTRI_COUNT" totalsRowFunction="custom" queryTableFieldId="4" headerRowDxfId="2193" dataDxfId="2192" totalsRowDxfId="2191" headerRowCellStyle="TXT2" dataCellStyle="TXT2">
      <totalsRowFormula>SUM(Table_Default__XLS_TAB_7[W_QTRI_COUNT])</totalsRowFormula>
    </tableColumn>
    <tableColumn id="5" uniqueName="5" name="W_NQTRI_COUNT" totalsRowFunction="custom" queryTableFieldId="5" headerRowDxfId="2190" dataDxfId="2189" totalsRowDxfId="2188" headerRowCellStyle="TXT2" dataCellStyle="TXT2">
      <totalsRowFormula>SUM(Table_Default__XLS_TAB_7[W_NQTRI_COUNT])</totalsRowFormula>
    </tableColumn>
    <tableColumn id="6" uniqueName="6" name="W_QTRI_TOT_COUNT" totalsRowFunction="custom" queryTableFieldId="6" headerRowDxfId="2187" dataDxfId="2186" totalsRowDxfId="2185" headerRowCellStyle="TXT2" dataCellStyle="Total1">
      <totalsRowFormula>SUM(Table_Default__XLS_TAB_7[W_QTRI_TOT_COUNT])</totalsRowFormula>
    </tableColumn>
  </tableColumns>
  <tableStyleInfo name="VITAL" showFirstColumn="0" showLastColumn="0" showRowStripes="1" showColumnStripes="0"/>
</table>
</file>

<file path=xl/tables/table30.xml><?xml version="1.0" encoding="utf-8"?>
<table xmlns="http://schemas.openxmlformats.org/spreadsheetml/2006/main" id="31" name="Table_Default__XLS_TAB_18_3" displayName="Table_Default__XLS_TAB_18_3" ref="A9:N23" tableType="queryTable" headerRowCount="0" totalsRowCount="1" dataDxfId="1282" totalsRowDxfId="1281" totalsRowBorderDxfId="1280" dataCellStyle="Normal 2">
  <tableColumns count="14">
    <tableColumn id="1" uniqueName="1" name="AGE_LEVEL_HUSBD_ARB" totalsRowLabel="المجموع" queryTableFieldId="1" headerRowDxfId="1279" dataDxfId="1278" totalsRowDxfId="1277" headerRowCellStyle="Normal 2" dataCellStyle="Normal 2"/>
    <tableColumn id="2" uniqueName="2" name="AGE_LEVEL_LESS_20" totalsRowFunction="sum" queryTableFieldId="2" headerRowDxfId="1276" dataDxfId="1275" totalsRowDxfId="1274" headerRowCellStyle="Normal 2" dataCellStyle="Normal 2"/>
    <tableColumn id="3" uniqueName="3" name="AGE_LEVEL_20_24" totalsRowFunction="sum" queryTableFieldId="3" headerRowDxfId="1273" dataDxfId="1272" totalsRowDxfId="1271" headerRowCellStyle="Normal 2" dataCellStyle="Normal 2"/>
    <tableColumn id="4" uniqueName="4" name="AGE_LEVEL_25_29" totalsRowFunction="sum" queryTableFieldId="4" headerRowDxfId="1270" dataDxfId="1269" totalsRowDxfId="1268" headerRowCellStyle="Normal 2" dataCellStyle="Normal 2"/>
    <tableColumn id="5" uniqueName="5" name="AGE_LEVEL_30_34" totalsRowFunction="sum" queryTableFieldId="5" headerRowDxfId="1267" dataDxfId="1266" totalsRowDxfId="1265" headerRowCellStyle="Normal 2" dataCellStyle="Normal 2"/>
    <tableColumn id="6" uniqueName="6" name="AGE_LEVEL_35_39" totalsRowFunction="sum" queryTableFieldId="6" headerRowDxfId="1264" dataDxfId="1263" totalsRowDxfId="1262" headerRowCellStyle="Normal 2" dataCellStyle="Normal 2"/>
    <tableColumn id="7" uniqueName="7" name="AGE_LEVEL_40_44" totalsRowFunction="sum" queryTableFieldId="7" headerRowDxfId="1261" dataDxfId="1260" totalsRowDxfId="1259" headerRowCellStyle="Normal 2" dataCellStyle="Normal 2"/>
    <tableColumn id="8" uniqueName="8" name="AGE_LEVEL_45_49" totalsRowFunction="sum" queryTableFieldId="8" headerRowDxfId="1258" dataDxfId="1257" totalsRowDxfId="1256" headerRowCellStyle="Normal 2" dataCellStyle="Normal 2"/>
    <tableColumn id="9" uniqueName="9" name="AGE_LEVEL_50_54" totalsRowFunction="sum" queryTableFieldId="9" headerRowDxfId="1255" dataDxfId="1254" totalsRowDxfId="1253" headerRowCellStyle="Normal 2" dataCellStyle="Normal 2"/>
    <tableColumn id="10" uniqueName="10" name="AGE_LEVEL_55_59" totalsRowFunction="sum" queryTableFieldId="10" headerRowDxfId="1252" dataDxfId="1251" totalsRowDxfId="1250" headerRowCellStyle="Normal 2" dataCellStyle="Normal 2"/>
    <tableColumn id="11" uniqueName="11" name="AGE_LEVEL_UP_60" totalsRowFunction="sum" queryTableFieldId="11" headerRowDxfId="1249" dataDxfId="1248" totalsRowDxfId="1247" headerRowCellStyle="Normal 2" dataCellStyle="Normal 2"/>
    <tableColumn id="12" uniqueName="12" name="AGE_LEVEL_NOT_STATED" totalsRowFunction="sum" queryTableFieldId="12" headerRowDxfId="1246" dataDxfId="1245" totalsRowDxfId="1244" headerRowCellStyle="Normal 2" dataCellStyle="Normal 2"/>
    <tableColumn id="13" uniqueName="13" name="TOTAL" totalsRowFunction="sum" queryTableFieldId="13" headerRowDxfId="1243" dataDxfId="1242" totalsRowDxfId="1241" headerRowCellStyle="Normal 2" dataCellStyle="Normal 2"/>
    <tableColumn id="14" uniqueName="14" name="AGE_LEVEL_HUSBD_ENG" totalsRowLabel="Total" queryTableFieldId="14" headerRowDxfId="1240" dataDxfId="1239" totalsRowDxfId="1238" headerRowCellStyle="Normal 2" dataCellStyle="Normal 2"/>
  </tableColumns>
  <tableStyleInfo name="VITAL" showFirstColumn="0" showLastColumn="0" showRowStripes="1" showColumnStripes="0"/>
</table>
</file>

<file path=xl/tables/table31.xml><?xml version="1.0" encoding="utf-8"?>
<table xmlns="http://schemas.openxmlformats.org/spreadsheetml/2006/main" id="28" name="Table_Default__XLS_TAB_19" displayName="Table_Default__XLS_TAB_19" ref="C8:J15" tableType="queryTable" headerRowCount="0" totalsRowShown="0" headerRowDxfId="1237" dataDxfId="1236">
  <tableColumns count="8">
    <tableColumn id="1" uniqueName="1" name="CNT_0" queryTableFieldId="1" headerRowDxfId="1235" dataDxfId="1234" headerRowCellStyle="Normal 2" dataCellStyle="Normal 2"/>
    <tableColumn id="2" uniqueName="2" name="CNT_1" queryTableFieldId="2" headerRowDxfId="1233" dataDxfId="1232" headerRowCellStyle="Normal 2" dataCellStyle="Normal 2"/>
    <tableColumn id="3" uniqueName="3" name="CNT_2" queryTableFieldId="3" headerRowDxfId="1231" dataDxfId="1230" headerRowCellStyle="Normal 2" dataCellStyle="Normal 2"/>
    <tableColumn id="4" uniqueName="4" name="CNT_3" queryTableFieldId="4" headerRowDxfId="1229" dataDxfId="1228" headerRowCellStyle="Normal 2" dataCellStyle="Normal 2"/>
    <tableColumn id="5" uniqueName="5" name="CNT_4" queryTableFieldId="5" headerRowDxfId="1227" dataDxfId="1226" headerRowCellStyle="Normal 2" dataCellStyle="Normal 2"/>
    <tableColumn id="6" uniqueName="6" name="CNT_5" queryTableFieldId="6" headerRowDxfId="1225" dataDxfId="1224" headerRowCellStyle="Normal 2" dataCellStyle="Normal 2"/>
    <tableColumn id="7" uniqueName="7" name="CNT_6" queryTableFieldId="7" headerRowDxfId="1223" dataDxfId="1222" headerRowCellStyle="Normal 2" dataCellStyle="Normal 2"/>
    <tableColumn id="8" uniqueName="8" name="NOT_STATED" queryTableFieldId="8" headerRowDxfId="1221" dataDxfId="1220" headerRowCellStyle="Normal 2" dataCellStyle="Normal 2"/>
  </tableColumns>
  <tableStyleInfo name="VITAL" showFirstColumn="0" showLastColumn="0" showRowStripes="1" showColumnStripes="0"/>
</table>
</file>

<file path=xl/tables/table32.xml><?xml version="1.0" encoding="utf-8"?>
<table xmlns="http://schemas.openxmlformats.org/spreadsheetml/2006/main" id="32" name="Table_Default__XLS_TAB_20" displayName="Table_Default__XLS_TAB_20" ref="C8:J15" tableType="queryTable" headerRowCount="0" totalsRowShown="0" headerRowDxfId="1219" dataDxfId="1218" tableBorderDxfId="1217" headerRowCellStyle="Normal 2" dataCellStyle="Normal 2">
  <tableColumns count="8">
    <tableColumn id="1" uniqueName="1" name="CNT_0" queryTableFieldId="1" headerRowDxfId="1216" dataDxfId="1215" headerRowCellStyle="Normal 2" dataCellStyle="Normal 2"/>
    <tableColumn id="2" uniqueName="2" name="CNT_1" queryTableFieldId="2" headerRowDxfId="1214" dataDxfId="1213" headerRowCellStyle="Normal 2" dataCellStyle="Normal 2"/>
    <tableColumn id="3" uniqueName="3" name="CNT_2" queryTableFieldId="3" headerRowDxfId="1212" dataDxfId="1211" headerRowCellStyle="Normal 2" dataCellStyle="Normal 2"/>
    <tableColumn id="4" uniqueName="4" name="CNT_3" queryTableFieldId="4" headerRowDxfId="1210" dataDxfId="1209" headerRowCellStyle="Normal 2" dataCellStyle="Normal 2"/>
    <tableColumn id="5" uniqueName="5" name="CNT_4" queryTableFieldId="5" headerRowDxfId="1208" dataDxfId="1207" headerRowCellStyle="Normal 2" dataCellStyle="Normal 2"/>
    <tableColumn id="6" uniqueName="6" name="CNT_5" queryTableFieldId="6" headerRowDxfId="1206" dataDxfId="1205" headerRowCellStyle="Normal 2" dataCellStyle="Normal 2"/>
    <tableColumn id="7" uniqueName="7" name="CNT_6" queryTableFieldId="7" headerRowDxfId="1204" dataDxfId="1203" headerRowCellStyle="Normal 2" dataCellStyle="Normal 2"/>
    <tableColumn id="8" uniqueName="8" name="NOT_STATED" queryTableFieldId="8" headerRowDxfId="1202" dataDxfId="1201" headerRowCellStyle="Normal 2" dataCellStyle="Normal 2"/>
  </tableColumns>
  <tableStyleInfo name="VITAL" showFirstColumn="0" showLastColumn="0" showRowStripes="1" showColumnStripes="0"/>
</table>
</file>

<file path=xl/tables/table33.xml><?xml version="1.0" encoding="utf-8"?>
<table xmlns="http://schemas.openxmlformats.org/spreadsheetml/2006/main" id="76" name="Table_Default__XLS_TAB_2377" displayName="Table_Default__XLS_TAB_2377" ref="B8:G19" tableType="queryTable" headerRowCount="0" totalsRowShown="0" headerRowDxfId="1200" dataDxfId="1199" tableBorderDxfId="1198" headerRowCellStyle="Normal 2" dataCellStyle="TXT2">
  <tableColumns count="6">
    <tableColumn id="1" uniqueName="1" name="M_QTRI_COUNT" queryTableFieldId="1" headerRowDxfId="1197" dataDxfId="1196" headerRowCellStyle="Normal 2" dataCellStyle="TXT2"/>
    <tableColumn id="2" uniqueName="2" name="M_NQTRI_COUNT" queryTableFieldId="2" headerRowDxfId="1195" dataDxfId="1194" headerRowCellStyle="Normal 2" dataCellStyle="TXT2"/>
    <tableColumn id="3" uniqueName="3" name="M_QTRI_TOT_COUNT" queryTableFieldId="3" headerRowDxfId="1193" dataDxfId="1192" headerRowCellStyle="Normal 2" dataCellStyle="Total1"/>
    <tableColumn id="4" uniqueName="4" name="W_QTRI_COUNT" queryTableFieldId="4" headerRowDxfId="1191" dataDxfId="1190" headerRowCellStyle="Normal 2" dataCellStyle="TXT2"/>
    <tableColumn id="5" uniqueName="5" name="W_NQTRI_COUNT" queryTableFieldId="5" headerRowDxfId="1189" dataDxfId="1188" headerRowCellStyle="Normal 2" dataCellStyle="TXT2"/>
    <tableColumn id="6" uniqueName="6" name="W_QTRI_TOT_COUNT" queryTableFieldId="6" headerRowDxfId="1187" dataDxfId="1186" headerRowCellStyle="Normal 2" dataCellStyle="Total1"/>
  </tableColumns>
  <tableStyleInfo name="VITAL" showFirstColumn="0" showLastColumn="0" showRowStripes="1" showColumnStripes="0"/>
</table>
</file>

<file path=xl/tables/table34.xml><?xml version="1.0" encoding="utf-8"?>
<table xmlns="http://schemas.openxmlformats.org/spreadsheetml/2006/main" id="77" name="Table_Default__XLS_TAB_2478" displayName="Table_Default__XLS_TAB_2478" ref="B8:G13" tableType="queryTable" headerRowCount="0" totalsRowShown="0" headerRowDxfId="1185" dataDxfId="1184" tableBorderDxfId="1183" headerRowCellStyle="Normal 2" dataCellStyle="TXT2">
  <tableColumns count="6">
    <tableColumn id="1" uniqueName="1" name="BAAN_SMALLERQATAR" queryTableFieldId="1" headerRowDxfId="1182" dataDxfId="1181" headerRowCellStyle="Normal 2" dataCellStyle="TXT2"/>
    <tableColumn id="2" uniqueName="2" name="RAJEE" queryTableFieldId="2" headerRowDxfId="1180" dataDxfId="1179" headerRowCellStyle="Normal 2" dataCellStyle="TXT2"/>
    <tableColumn id="3" uniqueName="3" name="KHULLA" queryTableFieldId="3" headerRowDxfId="1178" dataDxfId="1177" headerRowCellStyle="Normal 2" dataCellStyle="TXT2"/>
    <tableColumn id="4" uniqueName="4" name="BAAN_GREATER" queryTableFieldId="4" headerRowDxfId="1176" dataDxfId="1175" headerRowCellStyle="Normal 2" dataCellStyle="TXT2"/>
    <tableColumn id="6" uniqueName="6" name="Column1" queryTableFieldId="6" headerRowDxfId="1174" dataDxfId="1173" headerRowCellStyle="Normal 2" dataCellStyle="TXT2"/>
    <tableColumn id="5" uniqueName="5" name="TOTAL" queryTableFieldId="5" headerRowDxfId="1172" dataDxfId="1171" headerRowCellStyle="Normal 2" dataCellStyle="TXT2"/>
  </tableColumns>
  <tableStyleInfo name="VITAL" showFirstColumn="0" showLastColumn="0" showRowStripes="1" showColumnStripes="0"/>
</table>
</file>

<file path=xl/tables/table35.xml><?xml version="1.0" encoding="utf-8"?>
<table xmlns="http://schemas.openxmlformats.org/spreadsheetml/2006/main" id="100" name="Table_Default__XLS_TAB_25_1101" displayName="Table_Default__XLS_TAB_25_1101" ref="B9:G22" tableType="queryTable" headerRowCount="0" totalsRowShown="0" headerRowDxfId="1170" dataDxfId="1169" tableBorderDxfId="1168" headerRowCellStyle="Normal 2" dataCellStyle="TXT2">
  <tableColumns count="6">
    <tableColumn id="1" uniqueName="1" name="BAAN_SMALLERQATAR" queryTableFieldId="1" headerRowDxfId="1167" dataDxfId="1166" headerRowCellStyle="Normal 2" dataCellStyle="TXT2"/>
    <tableColumn id="2" uniqueName="2" name="RAJEE" queryTableFieldId="2" headerRowDxfId="1165" dataDxfId="1164" headerRowCellStyle="Normal 2" dataCellStyle="TXT2"/>
    <tableColumn id="3" uniqueName="3" name="KHULLA" queryTableFieldId="3" headerRowDxfId="1163" dataDxfId="1162" headerRowCellStyle="Normal 2" dataCellStyle="TXT2"/>
    <tableColumn id="4" uniqueName="4" name="BAAN_GREATER" queryTableFieldId="4" headerRowDxfId="1161" dataDxfId="1160" headerRowCellStyle="Normal 2" dataCellStyle="TXT2"/>
    <tableColumn id="6" uniqueName="6" name="Column1" queryTableFieldId="6" headerRowDxfId="1159" dataDxfId="1158" headerRowCellStyle="Normal 2" dataCellStyle="TXT2"/>
    <tableColumn id="5" uniqueName="5" name="TOTAL" queryTableFieldId="5" headerRowDxfId="1157" dataDxfId="1156" headerRowCellStyle="Normal 2" dataCellStyle="TXT2"/>
  </tableColumns>
  <tableStyleInfo name="VITAL" showFirstColumn="0" showLastColumn="0" showRowStripes="1" showColumnStripes="0"/>
</table>
</file>

<file path=xl/tables/table36.xml><?xml version="1.0" encoding="utf-8"?>
<table xmlns="http://schemas.openxmlformats.org/spreadsheetml/2006/main" id="101" name="Table_Default__XLS_TAB_25_2102" displayName="Table_Default__XLS_TAB_25_2102" ref="B9:G22" tableType="queryTable" headerRowCount="0" totalsRowShown="0" headerRowDxfId="1155" dataDxfId="1154" tableBorderDxfId="1153" headerRowCellStyle="Normal 2" dataCellStyle="TXT2">
  <tableColumns count="6">
    <tableColumn id="1" uniqueName="1" name="BAAN_SMALLERQATAR" queryTableFieldId="1" headerRowDxfId="1152" dataDxfId="1151" headerRowCellStyle="Normal 2" dataCellStyle="TXT2"/>
    <tableColumn id="2" uniqueName="2" name="RAJEE" queryTableFieldId="2" headerRowDxfId="1150" dataDxfId="1149" headerRowCellStyle="Normal 2" dataCellStyle="TXT2"/>
    <tableColumn id="3" uniqueName="3" name="KHULLA" queryTableFieldId="3" headerRowDxfId="1148" dataDxfId="1147" headerRowCellStyle="Normal 2" dataCellStyle="TXT2"/>
    <tableColumn id="4" uniqueName="4" name="BAAN_GREATER" queryTableFieldId="4" headerRowDxfId="1146" dataDxfId="1145" headerRowCellStyle="Normal 2" dataCellStyle="TXT2"/>
    <tableColumn id="6" uniqueName="6" name="Column1" queryTableFieldId="6" headerRowDxfId="1144" dataDxfId="1143" headerRowCellStyle="Normal 2" dataCellStyle="TXT2"/>
    <tableColumn id="5" uniqueName="5" name="TOTAL" queryTableFieldId="5" headerRowDxfId="1142" dataDxfId="1141" headerRowCellStyle="Normal 2" dataCellStyle="TXT2"/>
  </tableColumns>
  <tableStyleInfo name="VITAL" showFirstColumn="0" showLastColumn="0" showRowStripes="1" showColumnStripes="0"/>
</table>
</file>

<file path=xl/tables/table37.xml><?xml version="1.0" encoding="utf-8"?>
<table xmlns="http://schemas.openxmlformats.org/spreadsheetml/2006/main" id="102" name="Table_Default__XLS_TAB_25_3103" displayName="Table_Default__XLS_TAB_25_3103" ref="B9:G22" tableType="queryTable" headerRowCount="0" totalsRowShown="0" headerRowDxfId="1140" dataDxfId="1139" tableBorderDxfId="1138" headerRowCellStyle="Normal 2" dataCellStyle="TXT2">
  <tableColumns count="6">
    <tableColumn id="1" uniqueName="1" name="BAAN_SMALLERQATAR" queryTableFieldId="1" headerRowDxfId="1137" dataDxfId="1136" headerRowCellStyle="Normal 2" dataCellStyle="TXT2"/>
    <tableColumn id="2" uniqueName="2" name="RAJEE" queryTableFieldId="2" headerRowDxfId="1135" dataDxfId="1134" headerRowCellStyle="Normal 2" dataCellStyle="TXT2"/>
    <tableColumn id="3" uniqueName="3" name="KHULLA" queryTableFieldId="3" headerRowDxfId="1133" dataDxfId="1132" headerRowCellStyle="Normal 2" dataCellStyle="TXT2"/>
    <tableColumn id="4" uniqueName="4" name="BAAN_GREATER" queryTableFieldId="4" headerRowDxfId="1131" dataDxfId="1130" headerRowCellStyle="Normal 2" dataCellStyle="TXT2"/>
    <tableColumn id="6" uniqueName="6" name="Column1" queryTableFieldId="6" headerRowDxfId="1129" dataDxfId="1128" headerRowCellStyle="Normal 2" dataCellStyle="TXT2"/>
    <tableColumn id="5" uniqueName="5" name="TOTAL" queryTableFieldId="5" headerRowDxfId="1127" dataDxfId="1126" headerRowCellStyle="Normal 2" dataCellStyle="TXT2"/>
  </tableColumns>
  <tableStyleInfo name="VITAL" showFirstColumn="0" showLastColumn="0" showRowStripes="1" showColumnStripes="0"/>
</table>
</file>

<file path=xl/tables/table38.xml><?xml version="1.0" encoding="utf-8"?>
<table xmlns="http://schemas.openxmlformats.org/spreadsheetml/2006/main" id="103" name="Table_Default__XLS_TAB_26_287104" displayName="Table_Default__XLS_TAB_26_287104" ref="B9:G19" tableType="queryTable" headerRowCount="0" totalsRowShown="0" headerRowDxfId="1125" dataDxfId="1124" tableBorderDxfId="1123" headerRowCellStyle="Normal 2" dataCellStyle="TXT2">
  <tableColumns count="6">
    <tableColumn id="1" uniqueName="1" name="BAAN_SMALLERQATAR" queryTableFieldId="1" headerRowDxfId="1122" dataDxfId="1121" headerRowCellStyle="Normal 2" dataCellStyle="TXT2"/>
    <tableColumn id="2" uniqueName="2" name="RAJEE" queryTableFieldId="2" headerRowDxfId="1120" dataDxfId="1119" headerRowCellStyle="Normal 2" dataCellStyle="TXT2"/>
    <tableColumn id="3" uniqueName="3" name="KHULLA" queryTableFieldId="3" headerRowDxfId="1118" dataDxfId="1117" headerRowCellStyle="Normal 2" dataCellStyle="TXT2"/>
    <tableColumn id="4" uniqueName="4" name="BAAN_GREATER" queryTableFieldId="4" headerRowDxfId="1116" dataDxfId="1115" headerRowCellStyle="Normal 2" dataCellStyle="TXT2"/>
    <tableColumn id="6" uniqueName="6" name="Column1" queryTableFieldId="6" headerRowDxfId="1114" dataDxfId="1113" headerRowCellStyle="Normal 2" dataCellStyle="TXT2"/>
    <tableColumn id="5" uniqueName="5" name="TOTAL" queryTableFieldId="5" headerRowDxfId="1112" dataDxfId="1111" headerRowCellStyle="Normal 2" dataCellStyle="TXT2"/>
  </tableColumns>
  <tableStyleInfo name="VITAL" showFirstColumn="0" showLastColumn="0" showRowStripes="1" showColumnStripes="0"/>
</table>
</file>

<file path=xl/tables/table39.xml><?xml version="1.0" encoding="utf-8"?>
<table xmlns="http://schemas.openxmlformats.org/spreadsheetml/2006/main" id="104" name="Table_Default__XLS_TAB_26_2105" displayName="Table_Default__XLS_TAB_26_2105" ref="B9:G19" tableType="queryTable" headerRowCount="0" totalsRowShown="0" headerRowDxfId="1110" dataDxfId="1109" tableBorderDxfId="1108" headerRowCellStyle="Normal 2" dataCellStyle="TXT2">
  <tableColumns count="6">
    <tableColumn id="1" uniqueName="1" name="BAAN_SMALLERQATAR" queryTableFieldId="1" headerRowDxfId="1107" dataDxfId="1106" headerRowCellStyle="Normal 2" dataCellStyle="TXT2"/>
    <tableColumn id="2" uniqueName="2" name="RAJEE" queryTableFieldId="2" headerRowDxfId="1105" dataDxfId="1104" headerRowCellStyle="Normal 2" dataCellStyle="TXT2"/>
    <tableColumn id="3" uniqueName="3" name="KHULLA" queryTableFieldId="3" headerRowDxfId="1103" dataDxfId="1102" headerRowCellStyle="Normal 2" dataCellStyle="TXT2"/>
    <tableColumn id="4" uniqueName="4" name="BAAN_GREATER" queryTableFieldId="4" headerRowDxfId="1101" dataDxfId="1100" headerRowCellStyle="Normal 2" dataCellStyle="TXT2"/>
    <tableColumn id="6" uniqueName="6" name="Column1" queryTableFieldId="6" headerRowDxfId="1099" dataDxfId="1098" headerRowCellStyle="Normal 2" dataCellStyle="TXT2"/>
    <tableColumn id="5" uniqueName="5" name="TOTAL" queryTableFieldId="5" headerRowDxfId="1097" dataDxfId="1096" headerRowCellStyle="Normal 2" dataCellStyle="TXT2"/>
  </tableColumns>
  <tableStyleInfo name="VITAL" showFirstColumn="0" showLastColumn="0" showRowStripes="1" showColumnStripes="0"/>
</table>
</file>

<file path=xl/tables/table4.xml><?xml version="1.0" encoding="utf-8"?>
<table xmlns="http://schemas.openxmlformats.org/spreadsheetml/2006/main" id="2" name="Table_Default__XLS_TAB_8" displayName="Table_Default__XLS_TAB_8" ref="B8:H13" tableType="queryTable" headerRowCount="0" totalsRowShown="0" headerRowDxfId="2184" dataDxfId="2183" tableBorderDxfId="2182" headerRowCellStyle="Normal 2" dataCellStyle="Normal 2">
  <tableColumns count="7">
    <tableColumn id="1" uniqueName="1" name="QATAR" queryTableFieldId="1" headerRowDxfId="2181" dataDxfId="2180" headerRowCellStyle="Normal 2" dataCellStyle="Normal 2"/>
    <tableColumn id="2" uniqueName="2" name="OTHER_G_C_C_COUNTRIES" queryTableFieldId="2" headerRowDxfId="2179" dataDxfId="2178" headerRowCellStyle="Normal 2" dataCellStyle="Normal 2"/>
    <tableColumn id="3" uniqueName="3" name="OTHER_ARAB_COUNTRIES" queryTableFieldId="3" headerRowDxfId="2177" dataDxfId="2176" headerRowCellStyle="Normal 2" dataCellStyle="Normal 2"/>
    <tableColumn id="4" uniqueName="4" name="ASIAN_COUNTRIES" queryTableFieldId="4" headerRowDxfId="2175" dataDxfId="2174" headerRowCellStyle="Normal 2" dataCellStyle="Normal 2"/>
    <tableColumn id="5" uniqueName="5" name="EUROPEAN_COUNTRIES" queryTableFieldId="5" headerRowDxfId="2173" dataDxfId="2172" headerRowCellStyle="Normal 2" dataCellStyle="Normal 2"/>
    <tableColumn id="6" uniqueName="6" name="OTHER_COUNTRIES" queryTableFieldId="6" headerRowDxfId="2171" dataDxfId="2170" headerRowCellStyle="Normal 2" dataCellStyle="Normal 2"/>
    <tableColumn id="7" uniqueName="7" name="TOTAL" queryTableFieldId="7" headerRowDxfId="2169" dataDxfId="2168" headerRowCellStyle="Normal 2" dataCellStyle="Normal 2"/>
  </tableColumns>
  <tableStyleInfo name="VITAL" showFirstColumn="0" showLastColumn="0" showRowStripes="1" showColumnStripes="0"/>
</table>
</file>

<file path=xl/tables/table40.xml><?xml version="1.0" encoding="utf-8"?>
<table xmlns="http://schemas.openxmlformats.org/spreadsheetml/2006/main" id="105" name="Table_Default__XLS_TAB_26_240106" displayName="Table_Default__XLS_TAB_26_240106" ref="B9:G19" tableType="queryTable" headerRowCount="0" totalsRowShown="0" headerRowDxfId="1095" dataDxfId="1094" tableBorderDxfId="1093" headerRowCellStyle="Normal 2" dataCellStyle="TXT2">
  <tableColumns count="6">
    <tableColumn id="1" uniqueName="1" name="BAAN_SMALLERQATAR" queryTableFieldId="1" headerRowDxfId="1092" dataDxfId="1091" headerRowCellStyle="Normal 2" dataCellStyle="TXT2"/>
    <tableColumn id="2" uniqueName="2" name="RAJEE" queryTableFieldId="2" headerRowDxfId="1090" dataDxfId="1089" headerRowCellStyle="Normal 2" dataCellStyle="TXT2"/>
    <tableColumn id="3" uniqueName="3" name="KHULLA" queryTableFieldId="3" headerRowDxfId="1088" dataDxfId="1087" headerRowCellStyle="Normal 2" dataCellStyle="TXT2"/>
    <tableColumn id="4" uniqueName="4" name="BAAN_GREATER" queryTableFieldId="4" headerRowDxfId="1086" dataDxfId="1085" headerRowCellStyle="Normal 2" dataCellStyle="TXT2"/>
    <tableColumn id="6" uniqueName="6" name="Column1" queryTableFieldId="6" headerRowDxfId="1084" dataDxfId="1083" headerRowCellStyle="Normal 2" dataCellStyle="TXT2"/>
    <tableColumn id="5" uniqueName="5" name="TOTAL" queryTableFieldId="5" headerRowDxfId="1082" dataDxfId="1081" headerRowCellStyle="Normal 2" dataCellStyle="TXT2"/>
  </tableColumns>
  <tableStyleInfo name="VITAL" showFirstColumn="0" showLastColumn="0" showRowStripes="1" showColumnStripes="0"/>
</table>
</file>

<file path=xl/tables/table41.xml><?xml version="1.0" encoding="utf-8"?>
<table xmlns="http://schemas.openxmlformats.org/spreadsheetml/2006/main" id="34" name="Table_Default__XLS_TAB_27_28335" displayName="Table_Default__XLS_TAB_27_28335" ref="C8:H18" tableType="queryTable" headerRowCount="0" totalsRowShown="0" headerRowDxfId="1080" dataDxfId="1079" tableBorderDxfId="1078" headerRowCellStyle="Normal 2">
  <tableColumns count="6">
    <tableColumn id="1" uniqueName="1" name="BAAN_SMALLER_CNT" queryTableFieldId="1" headerRowDxfId="1077" dataDxfId="1076" headerRowCellStyle="Normal 2" dataCellStyle="Normal 2"/>
    <tableColumn id="2" uniqueName="2" name="RAJEE_CNT" queryTableFieldId="2" headerRowDxfId="1075" dataDxfId="1074" headerRowCellStyle="Normal 2" dataCellStyle="Normal 2"/>
    <tableColumn id="3" uniqueName="3" name="KHULLA_CNT" queryTableFieldId="3" headerRowDxfId="1073" dataDxfId="1072" headerRowCellStyle="Normal 2" dataCellStyle="Normal 2"/>
    <tableColumn id="4" uniqueName="4" name="BAAN_GREATER_CNT" queryTableFieldId="4" headerRowDxfId="1071" dataDxfId="1070" headerRowCellStyle="Normal 2" dataCellStyle="Normal 2"/>
    <tableColumn id="6" uniqueName="6" name="Column1" queryTableFieldId="6" headerRowDxfId="1069" dataDxfId="1068" headerRowCellStyle="Normal 2" dataCellStyle="Normal 2"/>
    <tableColumn id="5" uniqueName="5" name="TOTAL" queryTableFieldId="5" headerRowDxfId="1067" dataDxfId="1066" headerRowCellStyle="Normal 2" dataCellStyle="Normal 2"/>
  </tableColumns>
  <tableStyleInfo name="VITAL" showFirstColumn="0" showLastColumn="0" showRowStripes="1" showColumnStripes="0"/>
</table>
</file>

<file path=xl/tables/table42.xml><?xml version="1.0" encoding="utf-8"?>
<table xmlns="http://schemas.openxmlformats.org/spreadsheetml/2006/main" id="97" name="Table_Default__XLS_TAB_27_198" displayName="Table_Default__XLS_TAB_27_198" ref="B9:G20" tableType="queryTable" headerRowCount="0" totalsRowShown="0" headerRowDxfId="1065" dataDxfId="1064" tableBorderDxfId="1063" headerRowCellStyle="Normal 2" dataCellStyle="TXT2">
  <tableColumns count="6">
    <tableColumn id="1" uniqueName="1" name="BAAN_SMALLERQATAR" queryTableFieldId="1" headerRowDxfId="1062" dataDxfId="1061" headerRowCellStyle="Normal 2" dataCellStyle="TXT2"/>
    <tableColumn id="2" uniqueName="2" name="RAJEE" queryTableFieldId="2" headerRowDxfId="1060" dataDxfId="1059" headerRowCellStyle="Normal 2" dataCellStyle="TXT2"/>
    <tableColumn id="3" uniqueName="3" name="KHULLA" queryTableFieldId="3" headerRowDxfId="1058" dataDxfId="1057" headerRowCellStyle="Normal 2" dataCellStyle="TXT2"/>
    <tableColumn id="4" uniqueName="4" name="BAAN_GREATER" queryTableFieldId="4" headerRowDxfId="1056" dataDxfId="1055" headerRowCellStyle="Normal 2" dataCellStyle="TXT2"/>
    <tableColumn id="6" uniqueName="6" name="Column1" queryTableFieldId="6" headerRowDxfId="1054" dataDxfId="1053" headerRowCellStyle="Normal 2" dataCellStyle="TXT2"/>
    <tableColumn id="5" uniqueName="5" name="TOTAL" queryTableFieldId="5" headerRowDxfId="1052" dataDxfId="1051" headerRowCellStyle="Normal 2" dataCellStyle="TXT2"/>
  </tableColumns>
  <tableStyleInfo name="VITAL" showFirstColumn="0" showLastColumn="0" showRowStripes="1" showColumnStripes="0"/>
</table>
</file>

<file path=xl/tables/table43.xml><?xml version="1.0" encoding="utf-8"?>
<table xmlns="http://schemas.openxmlformats.org/spreadsheetml/2006/main" id="98" name="Table_Default__XLS_TAB_27_18899" displayName="Table_Default__XLS_TAB_27_18899" ref="B9:G20" tableType="queryTable" headerRowCount="0" totalsRowShown="0" headerRowDxfId="1050" dataDxfId="1049" tableBorderDxfId="1048" headerRowCellStyle="Normal 2" dataCellStyle="TXT2">
  <tableColumns count="6">
    <tableColumn id="1" uniqueName="1" name="BAAN_SMALLERQATAR" queryTableFieldId="1" headerRowDxfId="1047" dataDxfId="1046" headerRowCellStyle="Normal 2" dataCellStyle="TXT2"/>
    <tableColumn id="2" uniqueName="2" name="RAJEE" queryTableFieldId="2" headerRowDxfId="1045" dataDxfId="1044" headerRowCellStyle="Normal 2" dataCellStyle="TXT2"/>
    <tableColumn id="3" uniqueName="3" name="KHULLA" queryTableFieldId="3" headerRowDxfId="1043" dataDxfId="1042" headerRowCellStyle="Normal 2" dataCellStyle="TXT2"/>
    <tableColumn id="4" uniqueName="4" name="BAAN_GREATER" queryTableFieldId="4" headerRowDxfId="1041" dataDxfId="1040" headerRowCellStyle="Normal 2" dataCellStyle="TXT2"/>
    <tableColumn id="6" uniqueName="6" name="Column1" queryTableFieldId="6" headerRowDxfId="1039" dataDxfId="1038" headerRowCellStyle="Normal 2" dataCellStyle="TXT2"/>
    <tableColumn id="5" uniqueName="5" name="TOTAL" queryTableFieldId="5" headerRowDxfId="1037" dataDxfId="1036" headerRowCellStyle="Normal 2" dataCellStyle="TXT2"/>
  </tableColumns>
  <tableStyleInfo name="VITAL" showFirstColumn="0" showLastColumn="0" showRowStripes="1" showColumnStripes="0"/>
</table>
</file>

<file path=xl/tables/table44.xml><?xml version="1.0" encoding="utf-8"?>
<table xmlns="http://schemas.openxmlformats.org/spreadsheetml/2006/main" id="99" name="Table_Default__XLS_TAB_27_3100" displayName="Table_Default__XLS_TAB_27_3100" ref="B9:G20" tableType="queryTable" headerRowCount="0" totalsRowShown="0" headerRowDxfId="1035" dataDxfId="1034" tableBorderDxfId="1033" headerRowCellStyle="Normal 2" dataCellStyle="TXT2">
  <tableColumns count="6">
    <tableColumn id="1" uniqueName="1" name="BAAN_SMALLERQATAR" queryTableFieldId="1" headerRowDxfId="1032" dataDxfId="1031" headerRowCellStyle="Normal 2" dataCellStyle="TXT2"/>
    <tableColumn id="2" uniqueName="2" name="RAJEE" queryTableFieldId="2" headerRowDxfId="1030" dataDxfId="1029" headerRowCellStyle="Normal 2" dataCellStyle="TXT2"/>
    <tableColumn id="3" uniqueName="3" name="KHULLA" queryTableFieldId="3" headerRowDxfId="1028" dataDxfId="1027" headerRowCellStyle="Normal 2" dataCellStyle="TXT2"/>
    <tableColumn id="4" uniqueName="4" name="BAAN_GREATER" queryTableFieldId="4" headerRowDxfId="1026" dataDxfId="1025" headerRowCellStyle="Normal 2" dataCellStyle="TXT2"/>
    <tableColumn id="6" uniqueName="6" name="Column1" queryTableFieldId="6" headerRowDxfId="1024" dataDxfId="1023" headerRowCellStyle="Normal 2" dataCellStyle="TXT2"/>
    <tableColumn id="5" uniqueName="5" name="TOTAL" queryTableFieldId="5" headerRowDxfId="1022" dataDxfId="1021" headerRowCellStyle="Normal 2" dataCellStyle="TXT2"/>
  </tableColumns>
  <tableStyleInfo name="VITAL" showFirstColumn="0" showLastColumn="0" showRowStripes="1" showColumnStripes="0"/>
</table>
</file>

<file path=xl/tables/table45.xml><?xml version="1.0" encoding="utf-8"?>
<table xmlns="http://schemas.openxmlformats.org/spreadsheetml/2006/main" id="80" name="Table_Default__XLS_TAB_30_281" displayName="Table_Default__XLS_TAB_30_281" ref="A9:N20" tableType="queryTable" headerRowCount="0" totalsRowShown="0" headerRowDxfId="1020" dataDxfId="1019" tableBorderDxfId="1018" headerRowCellStyle="Normal 2" dataCellStyle="Normal 2">
  <tableColumns count="14">
    <tableColumn id="1" uniqueName="1" name="MARRD_PRD_HUSBD_ARB" queryTableFieldId="1" headerRowDxfId="1017" dataDxfId="1016" totalsRowDxfId="1015" headerRowCellStyle="Normal 2" dataCellStyle="TXT1"/>
    <tableColumn id="2" uniqueName="2" name="CAT_1_HSB_CNT" queryTableFieldId="2" headerRowDxfId="1014" dataDxfId="1013" headerRowCellStyle="Normal 2" dataCellStyle="Normal 2"/>
    <tableColumn id="3" uniqueName="3" name="CAT_1_WFE_CNT" queryTableFieldId="3" headerRowDxfId="1012" dataDxfId="1011" headerRowCellStyle="Normal 2" dataCellStyle="Normal 2"/>
    <tableColumn id="4" uniqueName="4" name="CAT_2_HSB_CNT" queryTableFieldId="4" headerRowDxfId="1010" dataDxfId="1009" headerRowCellStyle="Normal 2" dataCellStyle="Normal 2"/>
    <tableColumn id="5" uniqueName="5" name="CAT_2_WFE_CNT" queryTableFieldId="5" headerRowDxfId="1008" dataDxfId="1007" headerRowCellStyle="Normal 2" dataCellStyle="Normal 2"/>
    <tableColumn id="6" uniqueName="6" name="CAT_3_HSB_CNT" queryTableFieldId="6" headerRowDxfId="1006" dataDxfId="1005" headerRowCellStyle="Normal 2" dataCellStyle="Normal 2"/>
    <tableColumn id="7" uniqueName="7" name="CAT_3_WFE_CNT" queryTableFieldId="7" headerRowDxfId="1004" dataDxfId="1003" headerRowCellStyle="Normal 2" dataCellStyle="Normal 2"/>
    <tableColumn id="8" uniqueName="8" name="CAT_4_HSB_CNT" queryTableFieldId="8" headerRowDxfId="1002" dataDxfId="1001" headerRowCellStyle="Normal 2" dataCellStyle="Normal 2"/>
    <tableColumn id="9" uniqueName="9" name="CAT_4_WFE_CNT" queryTableFieldId="9" headerRowDxfId="1000" dataDxfId="999" headerRowCellStyle="Normal 2" dataCellStyle="Normal 2"/>
    <tableColumn id="10" uniqueName="10" name="TOT_HSB_CNT" queryTableFieldId="10" headerRowDxfId="998" dataDxfId="997" headerRowCellStyle="Normal 2" dataCellStyle="Normal 2"/>
    <tableColumn id="11" uniqueName="11" name="TOT_WFE_CNT" queryTableFieldId="11" headerRowDxfId="996" dataDxfId="995" headerRowCellStyle="Normal 2" dataCellStyle="Normal 2"/>
    <tableColumn id="12" uniqueName="12" name="TOT_NOTSTAT_CNT" queryTableFieldId="12" headerRowDxfId="994" dataDxfId="993" headerRowCellStyle="Normal 2" dataCellStyle="Normal 2"/>
    <tableColumn id="13" uniqueName="13" name="G_TOTAL" queryTableFieldId="13" headerRowDxfId="992" dataDxfId="991" headerRowCellStyle="Normal 2" dataCellStyle="Normal 2">
      <calculatedColumnFormula>Table_Default__XLS_TAB_30_281[[#This Row],[TOT_HSB_CNT]]+Table_Default__XLS_TAB_30_281[[#This Row],[TOT_WFE_CNT]]+Table_Default__XLS_TAB_30_281[[#This Row],[TOT_NOTSTAT_CNT]]</calculatedColumnFormula>
    </tableColumn>
    <tableColumn id="14" uniqueName="14" name="MARRD_PRD_HUSBD_ENG" queryTableFieldId="14" headerRowDxfId="990" dataDxfId="989" totalsRowDxfId="988" headerRowCellStyle="Normal 2" dataCellStyle="TXT1"/>
  </tableColumns>
  <tableStyleInfo name="VITAL" showFirstColumn="0" showLastColumn="0" showRowStripes="1" showColumnStripes="0"/>
</table>
</file>

<file path=xl/tables/table46.xml><?xml version="1.0" encoding="utf-8"?>
<table xmlns="http://schemas.openxmlformats.org/spreadsheetml/2006/main" id="94" name="Table_Default__XLS_TAB_28_195" displayName="Table_Default__XLS_TAB_28_195" ref="B9:G20" tableType="queryTable" headerRowCount="0" totalsRowShown="0" headerRowDxfId="987" dataDxfId="986" tableBorderDxfId="985" headerRowCellStyle="Normal 2" dataCellStyle="TXT2">
  <tableColumns count="6">
    <tableColumn id="1" uniqueName="1" name="BAAN_SMALLERQATAR" queryTableFieldId="1" headerRowDxfId="984" dataDxfId="983" headerRowCellStyle="Normal 2" dataCellStyle="TXT2"/>
    <tableColumn id="2" uniqueName="2" name="RAJEE" queryTableFieldId="2" headerRowDxfId="982" dataDxfId="981" headerRowCellStyle="Normal 2" dataCellStyle="TXT2"/>
    <tableColumn id="3" uniqueName="3" name="KHULLA" queryTableFieldId="3" headerRowDxfId="980" dataDxfId="979" headerRowCellStyle="Normal 2" dataCellStyle="TXT2"/>
    <tableColumn id="4" uniqueName="4" name="BAAN_GREATER" queryTableFieldId="4" headerRowDxfId="978" dataDxfId="977" headerRowCellStyle="Normal 2" dataCellStyle="TXT2"/>
    <tableColumn id="6" uniqueName="6" name="Column1" queryTableFieldId="6" headerRowDxfId="976" dataDxfId="975" headerRowCellStyle="Normal 2" dataCellStyle="TXT2"/>
    <tableColumn id="5" uniqueName="5" name="TOTAL" queryTableFieldId="5" headerRowDxfId="974" dataDxfId="973" headerRowCellStyle="Normal 2" dataCellStyle="TXT2"/>
  </tableColumns>
  <tableStyleInfo name="VITAL" showFirstColumn="0" showLastColumn="0" showRowStripes="1" showColumnStripes="0"/>
</table>
</file>

<file path=xl/tables/table47.xml><?xml version="1.0" encoding="utf-8"?>
<table xmlns="http://schemas.openxmlformats.org/spreadsheetml/2006/main" id="95" name="Table_Default__XLS_TAB_28_18696" displayName="Table_Default__XLS_TAB_28_18696" ref="B9:G20" tableType="queryTable" headerRowCount="0" totalsRowShown="0" headerRowDxfId="972" dataDxfId="971" tableBorderDxfId="970" headerRowCellStyle="Normal 2" dataCellStyle="TXT2">
  <tableColumns count="6">
    <tableColumn id="1" uniqueName="1" name="BAAN_SMALLERQATAR" queryTableFieldId="1" headerRowDxfId="969" dataDxfId="968" headerRowCellStyle="Normal 2" dataCellStyle="TXT2"/>
    <tableColumn id="2" uniqueName="2" name="RAJEE" queryTableFieldId="2" headerRowDxfId="967" dataDxfId="966" headerRowCellStyle="Normal 2" dataCellStyle="TXT2"/>
    <tableColumn id="3" uniqueName="3" name="KHULLA" queryTableFieldId="3" headerRowDxfId="965" dataDxfId="964" headerRowCellStyle="Normal 2" dataCellStyle="TXT2"/>
    <tableColumn id="4" uniqueName="4" name="BAAN_GREATER" queryTableFieldId="4" headerRowDxfId="963" dataDxfId="962" headerRowCellStyle="Normal 2" dataCellStyle="TXT2"/>
    <tableColumn id="6" uniqueName="6" name="Column1" queryTableFieldId="6" headerRowDxfId="961" dataDxfId="960" headerRowCellStyle="Normal 2" dataCellStyle="TXT2"/>
    <tableColumn id="5" uniqueName="5" name="TOTAL" queryTableFieldId="5" headerRowDxfId="959" dataDxfId="958" headerRowCellStyle="Normal 2" dataCellStyle="TXT2"/>
  </tableColumns>
  <tableStyleInfo name="VITAL" showFirstColumn="0" showLastColumn="0" showRowStripes="1" showColumnStripes="0"/>
</table>
</file>

<file path=xl/tables/table48.xml><?xml version="1.0" encoding="utf-8"?>
<table xmlns="http://schemas.openxmlformats.org/spreadsheetml/2006/main" id="96" name="Table_Default__XLS_TAB_28_397" displayName="Table_Default__XLS_TAB_28_397" ref="B9:G20" tableType="queryTable" headerRowCount="0" totalsRowShown="0" headerRowDxfId="957" dataDxfId="956" tableBorderDxfId="955" headerRowCellStyle="Normal 2" dataCellStyle="TXT2">
  <tableColumns count="6">
    <tableColumn id="1" uniqueName="1" name="BAAN_SMALLERQATAR" queryTableFieldId="1" headerRowDxfId="954" dataDxfId="953" headerRowCellStyle="Normal 2" dataCellStyle="TXT2"/>
    <tableColumn id="2" uniqueName="2" name="RAJEE" queryTableFieldId="2" headerRowDxfId="952" dataDxfId="951" headerRowCellStyle="Normal 2" dataCellStyle="TXT2"/>
    <tableColumn id="3" uniqueName="3" name="KHULLA" queryTableFieldId="3" headerRowDxfId="950" dataDxfId="949" headerRowCellStyle="Normal 2" dataCellStyle="TXT2"/>
    <tableColumn id="4" uniqueName="4" name="BAAN_GREATER" queryTableFieldId="4" headerRowDxfId="948" dataDxfId="947" headerRowCellStyle="Normal 2" dataCellStyle="TXT2"/>
    <tableColumn id="6" uniqueName="6" name="Column1" queryTableFieldId="6" headerRowDxfId="946" dataDxfId="945" headerRowCellStyle="Normal 2" dataCellStyle="TXT2"/>
    <tableColumn id="5" uniqueName="5" name="TOTAL" queryTableFieldId="5" headerRowDxfId="944" dataDxfId="943" headerRowCellStyle="Normal 2" dataCellStyle="TXT2"/>
  </tableColumns>
  <tableStyleInfo name="VITAL" showFirstColumn="0" showLastColumn="0" showRowStripes="1" showColumnStripes="0"/>
</table>
</file>

<file path=xl/tables/table49.xml><?xml version="1.0" encoding="utf-8"?>
<table xmlns="http://schemas.openxmlformats.org/spreadsheetml/2006/main" id="48" name="Table_Default__XLS_TAB_29_1" displayName="Table_Default__XLS_TAB_29_1" ref="A9:O22" headerRowCount="0" totalsRowShown="0" headerRowDxfId="942" dataDxfId="941" tableBorderDxfId="940" headerRowCellStyle="Normal 2" dataCellStyle="Normal 2">
  <tableColumns count="15">
    <tableColumn id="1" name="AGE_LEVEL_ARB" headerRowDxfId="939" dataDxfId="938" headerRowCellStyle="Normal 2" dataCellStyle="TXT1"/>
    <tableColumn id="2" name="B_CONS_CNT" headerRowDxfId="937" dataDxfId="936" headerRowCellStyle="Normal 2" dataCellStyle="Normal 2"/>
    <tableColumn id="3" name="BELOW_1_CNT" headerRowDxfId="935" dataDxfId="934" headerRowCellStyle="Normal 2" dataCellStyle="Normal 2"/>
    <tableColumn id="4" name="CNT_1" headerRowDxfId="933" dataDxfId="932" headerRowCellStyle="Normal 2" dataCellStyle="Normal 2"/>
    <tableColumn id="5" name="CNT_2" headerRowDxfId="931" dataDxfId="930" headerRowCellStyle="Normal 2" dataCellStyle="Normal 2"/>
    <tableColumn id="6" name="CNT_3" headerRowDxfId="929" dataDxfId="928" headerRowCellStyle="Normal 2" dataCellStyle="Normal 2"/>
    <tableColumn id="7" name="CNT_4" headerRowDxfId="927" dataDxfId="926" headerRowCellStyle="Normal 2" dataCellStyle="Normal 2"/>
    <tableColumn id="8" name="CNT_5_9" headerRowDxfId="925" dataDxfId="924" headerRowCellStyle="Normal 2" dataCellStyle="Normal 2"/>
    <tableColumn id="9" name="CNT_10_14" headerRowDxfId="923" dataDxfId="922" headerRowCellStyle="Normal 2" dataCellStyle="Normal 2"/>
    <tableColumn id="10" name="CNT_15_19" headerRowDxfId="921" dataDxfId="920" headerRowCellStyle="Normal 2" dataCellStyle="Normal 2"/>
    <tableColumn id="11" name="CNT_20_24" headerRowDxfId="919" dataDxfId="918" headerRowCellStyle="Normal 2" dataCellStyle="Normal 2"/>
    <tableColumn id="12" name="CNT_UP_25" headerRowDxfId="917" dataDxfId="916" headerRowCellStyle="Normal 2" dataCellStyle="Normal 2"/>
    <tableColumn id="13" name="NOT_STATED" headerRowDxfId="915" dataDxfId="914" headerRowCellStyle="Normal 2" dataCellStyle="Normal 2"/>
    <tableColumn id="14" name="TOTAL" headerRowDxfId="913" dataDxfId="912" headerRowCellStyle="Normal 2" dataCellStyle="TXT2">
      <calculatedColumnFormula>SUM(Table_Default__XLS_TAB_29_1[[#This Row],[B_CONS_CNT]:[NOT_STATED]])</calculatedColumnFormula>
    </tableColumn>
    <tableColumn id="15" name="AGE_LEVEL_ENG" headerRowDxfId="911" dataDxfId="910" headerRowCellStyle="Normal 2" dataCellStyle="TXT1"/>
  </tableColumns>
  <tableStyleInfo name="VITAL" showFirstColumn="0" showLastColumn="0" showRowStripes="1" showColumnStripes="0"/>
</table>
</file>

<file path=xl/tables/table5.xml><?xml version="1.0" encoding="utf-8"?>
<table xmlns="http://schemas.openxmlformats.org/spreadsheetml/2006/main" id="5" name="Table_Default__XLS_TAB_9" displayName="Table_Default__XLS_TAB_9" ref="A8:Q14" tableType="queryTable" headerRowCount="0" totalsRowCount="1" headerRowDxfId="2167" dataDxfId="2166" totalsRowDxfId="2164" tableBorderDxfId="2165" totalsRowBorderDxfId="2163">
  <tableColumns count="17">
    <tableColumn id="1" uniqueName="1" name="NAT_DESC_ARB" totalsRowLabel="المجموع" queryTableFieldId="1" headerRowDxfId="2162" dataDxfId="2161" totalsRowDxfId="2160" headerRowCellStyle="Normal 2" dataCellStyle="Normal 2"/>
    <tableColumn id="2" uniqueName="2" name="AGE_LEVEL_LESS_20" totalsRowFunction="sum" queryTableFieldId="2" headerRowDxfId="2159" dataDxfId="2158" totalsRowDxfId="2157" headerRowCellStyle="Normal 2" dataCellStyle="Normal 2"/>
    <tableColumn id="3" uniqueName="3" name="AGE_LEVEL_20_24" totalsRowFunction="sum" queryTableFieldId="3" headerRowDxfId="2156" dataDxfId="2155" totalsRowDxfId="2154" headerRowCellStyle="Normal 2" dataCellStyle="Normal 2"/>
    <tableColumn id="4" uniqueName="4" name="AGE_LEVEL_25_29" totalsRowFunction="sum" queryTableFieldId="4" headerRowDxfId="2153" dataDxfId="2152" totalsRowDxfId="2151" headerRowCellStyle="Normal 2" dataCellStyle="Normal 2"/>
    <tableColumn id="5" uniqueName="5" name="AGE_LEVEL_30_34" totalsRowFunction="sum" queryTableFieldId="5" headerRowDxfId="2150" dataDxfId="2149" totalsRowDxfId="2148" headerRowCellStyle="Normal 2" dataCellStyle="Normal 2"/>
    <tableColumn id="6" uniqueName="6" name="AGE_LEVEL_35_39" totalsRowFunction="sum" queryTableFieldId="6" headerRowDxfId="2147" dataDxfId="2146" totalsRowDxfId="2145" headerRowCellStyle="Normal 2" dataCellStyle="Normal 2"/>
    <tableColumn id="7" uniqueName="7" name="AGE_LEVEL_40_44" totalsRowFunction="sum" queryTableFieldId="7" headerRowDxfId="2144" dataDxfId="2143" totalsRowDxfId="2142" headerRowCellStyle="Normal 2" dataCellStyle="Normal 2"/>
    <tableColumn id="8" uniqueName="8" name="AGE_LEVEL_45_49" totalsRowFunction="sum" queryTableFieldId="8" headerRowDxfId="2141" dataDxfId="2140" totalsRowDxfId="2139" headerRowCellStyle="Normal 2" dataCellStyle="Normal 2"/>
    <tableColumn id="9" uniqueName="9" name="AGE_LEVEL_50_54" totalsRowFunction="sum" queryTableFieldId="9" headerRowDxfId="2138" dataDxfId="2137" totalsRowDxfId="2136" headerRowCellStyle="Normal 2" dataCellStyle="Normal 2"/>
    <tableColumn id="10" uniqueName="10" name="AGE_LEVEL_55_59" totalsRowFunction="sum" queryTableFieldId="10" headerRowDxfId="2135" dataDxfId="2134" totalsRowDxfId="2133" headerRowCellStyle="Normal 2" dataCellStyle="Normal 2"/>
    <tableColumn id="11" uniqueName="11" name="AGE_LEVEL_60_64" totalsRowFunction="sum" queryTableFieldId="11" headerRowDxfId="2132" dataDxfId="2131" totalsRowDxfId="2130" headerRowCellStyle="Normal 2" dataCellStyle="Normal 2"/>
    <tableColumn id="12" uniqueName="12" name="AGE_LEVEL_65_70" totalsRowFunction="sum" queryTableFieldId="12" headerRowDxfId="2129" dataDxfId="2128" totalsRowDxfId="2127" headerRowCellStyle="Normal 2" dataCellStyle="Normal 2"/>
    <tableColumn id="13" uniqueName="13" name="AGE_LEVEL_70_74" totalsRowFunction="sum" queryTableFieldId="13" headerRowDxfId="2126" dataDxfId="2125" totalsRowDxfId="2124" headerRowCellStyle="Normal 2" dataCellStyle="Normal 2"/>
    <tableColumn id="14" uniqueName="14" name="AGE_LEVEL_75" totalsRowFunction="sum" queryTableFieldId="14" headerRowDxfId="2123" dataDxfId="2122" totalsRowDxfId="2121" headerRowCellStyle="Normal 2" dataCellStyle="Normal 2"/>
    <tableColumn id="15" uniqueName="15" name="AGE_LEVEL_NOT_STATED" totalsRowFunction="sum" queryTableFieldId="15" headerRowDxfId="2120" dataDxfId="2119" totalsRowDxfId="2118" headerRowCellStyle="Normal 2" dataCellStyle="Normal 2"/>
    <tableColumn id="16" uniqueName="16" name="TOTAL" totalsRowFunction="sum" queryTableFieldId="16" headerRowDxfId="2117" dataDxfId="2116" totalsRowDxfId="2115" headerRowCellStyle="Normal 2" dataCellStyle="Normal 2"/>
    <tableColumn id="17" uniqueName="17" name="NAT_DESC_ENG" totalsRowLabel="Total" queryTableFieldId="17" headerRowDxfId="2114" dataDxfId="2113" totalsRowDxfId="2112" headerRowCellStyle="Normal 2" dataCellStyle="TXT1"/>
  </tableColumns>
  <tableStyleInfo name="VITAL" showFirstColumn="0" showLastColumn="0" showRowStripes="1" showColumnStripes="0"/>
</table>
</file>

<file path=xl/tables/table50.xml><?xml version="1.0" encoding="utf-8"?>
<table xmlns="http://schemas.openxmlformats.org/spreadsheetml/2006/main" id="49" name="Table_Default__XLS_TAB_29_2" displayName="Table_Default__XLS_TAB_29_2" ref="A9:O22" headerRowCount="0" totalsRowShown="0" headerRowDxfId="909" dataDxfId="908" tableBorderDxfId="907" headerRowCellStyle="Normal 2" dataCellStyle="Normal 2">
  <tableColumns count="15">
    <tableColumn id="1" name="AGE_LEVEL_ARB" headerRowDxfId="906" dataDxfId="905" headerRowCellStyle="Normal 2" dataCellStyle="TXT1"/>
    <tableColumn id="2" name="B_CONS_CNT" headerRowDxfId="904" dataDxfId="903" headerRowCellStyle="Normal 2" dataCellStyle="Normal 2"/>
    <tableColumn id="3" name="BELOW_1_CNT" headerRowDxfId="902" dataDxfId="901" headerRowCellStyle="Normal 2" dataCellStyle="Normal 2"/>
    <tableColumn id="4" name="CNT_1" headerRowDxfId="900" dataDxfId="899" headerRowCellStyle="Normal 2" dataCellStyle="Normal 2"/>
    <tableColumn id="5" name="CNT_2" headerRowDxfId="898" dataDxfId="897" headerRowCellStyle="Normal 2" dataCellStyle="Normal 2"/>
    <tableColumn id="6" name="CNT_3" headerRowDxfId="896" dataDxfId="895" headerRowCellStyle="Normal 2" dataCellStyle="Normal 2"/>
    <tableColumn id="7" name="CNT_4" headerRowDxfId="894" dataDxfId="893" headerRowCellStyle="Normal 2" dataCellStyle="Normal 2"/>
    <tableColumn id="8" name="CNT_5_9" headerRowDxfId="892" dataDxfId="891" headerRowCellStyle="Normal 2" dataCellStyle="Normal 2"/>
    <tableColumn id="9" name="CNT_10_14" headerRowDxfId="890" dataDxfId="889" headerRowCellStyle="Normal 2" dataCellStyle="Normal 2"/>
    <tableColumn id="10" name="CNT_15_19" headerRowDxfId="888" dataDxfId="887" headerRowCellStyle="Normal 2" dataCellStyle="Normal 2"/>
    <tableColumn id="11" name="CNT_20_24" headerRowDxfId="886" dataDxfId="885" headerRowCellStyle="Normal 2" dataCellStyle="Normal 2"/>
    <tableColumn id="12" name="CNT_UP_25" headerRowDxfId="884" dataDxfId="883" headerRowCellStyle="Normal 2" dataCellStyle="Normal 2"/>
    <tableColumn id="13" name="NOT_STATED" headerRowDxfId="882" dataDxfId="881" headerRowCellStyle="Normal 2" dataCellStyle="Normal 2"/>
    <tableColumn id="14" name="TOTAL" headerRowDxfId="880" dataDxfId="879" headerRowCellStyle="Normal 2" dataCellStyle="TXT2">
      <calculatedColumnFormula>SUM(Table_Default__XLS_TAB_29_2[[#This Row],[B_CONS_CNT]:[NOT_STATED]])</calculatedColumnFormula>
    </tableColumn>
    <tableColumn id="15" name="AGE_LEVEL_ENG" headerRowDxfId="878" dataDxfId="877" headerRowCellStyle="Normal 2" dataCellStyle="TXT1"/>
  </tableColumns>
  <tableStyleInfo name="VITAL" showFirstColumn="0" showLastColumn="0" showRowStripes="1" showColumnStripes="0"/>
</table>
</file>

<file path=xl/tables/table51.xml><?xml version="1.0" encoding="utf-8"?>
<table xmlns="http://schemas.openxmlformats.org/spreadsheetml/2006/main" id="50" name="Table_Default__XLS_TAB_29_3" displayName="Table_Default__XLS_TAB_29_3" ref="A9:O22" headerRowCount="0" totalsRowShown="0" headerRowDxfId="876" dataDxfId="875" tableBorderDxfId="874" headerRowCellStyle="Normal 2" dataCellStyle="Normal 2">
  <tableColumns count="15">
    <tableColumn id="1" name="AGE_LEVEL_ARB" headerRowDxfId="873" dataDxfId="872" headerRowCellStyle="Normal 2" dataCellStyle="TXT1"/>
    <tableColumn id="2" name="B_CONS_CNT" headerRowDxfId="871" dataDxfId="870" headerRowCellStyle="Normal 2" dataCellStyle="Normal 2"/>
    <tableColumn id="3" name="BELOW_1_CNT" headerRowDxfId="869" dataDxfId="868" headerRowCellStyle="Normal 2" dataCellStyle="Normal 2"/>
    <tableColumn id="4" name="CNT_1" headerRowDxfId="867" dataDxfId="866" headerRowCellStyle="Normal 2" dataCellStyle="Normal 2"/>
    <tableColumn id="5" name="CNT_2" headerRowDxfId="865" dataDxfId="864" headerRowCellStyle="Normal 2" dataCellStyle="Normal 2"/>
    <tableColumn id="6" name="CNT_3" headerRowDxfId="863" dataDxfId="862" headerRowCellStyle="Normal 2" dataCellStyle="Normal 2"/>
    <tableColumn id="7" name="CNT_4" headerRowDxfId="861" dataDxfId="860" headerRowCellStyle="Normal 2" dataCellStyle="Normal 2"/>
    <tableColumn id="8" name="CNT_5_9" headerRowDxfId="859" dataDxfId="858" headerRowCellStyle="Normal 2" dataCellStyle="Normal 2"/>
    <tableColumn id="9" name="CNT_10_14" headerRowDxfId="857" dataDxfId="856" headerRowCellStyle="Normal 2" dataCellStyle="Normal 2"/>
    <tableColumn id="10" name="CNT_15_19" headerRowDxfId="855" dataDxfId="854" headerRowCellStyle="Normal 2" dataCellStyle="Normal 2"/>
    <tableColumn id="11" name="CNT_20_24" headerRowDxfId="853" dataDxfId="852" headerRowCellStyle="Normal 2" dataCellStyle="Normal 2"/>
    <tableColumn id="12" name="CNT_UP_25" headerRowDxfId="851" dataDxfId="850" headerRowCellStyle="Normal 2" dataCellStyle="Normal 2"/>
    <tableColumn id="13" name="NOT_STATED" headerRowDxfId="849" dataDxfId="848" headerRowCellStyle="Normal 2" dataCellStyle="Normal 2"/>
    <tableColumn id="14" name="TOTAL" headerRowDxfId="847" dataDxfId="846" headerRowCellStyle="Normal 2" dataCellStyle="TXT2">
      <calculatedColumnFormula>SUM(Table_Default__XLS_TAB_29_3[[#This Row],[B_CONS_CNT]:[NOT_STATED]])</calculatedColumnFormula>
    </tableColumn>
    <tableColumn id="15" name="AGE_LEVEL_ENG" headerRowDxfId="845" dataDxfId="844" headerRowCellStyle="Normal 2" dataCellStyle="TXT1"/>
  </tableColumns>
  <tableStyleInfo name="VITAL" showFirstColumn="0" showLastColumn="0" showRowStripes="1" showColumnStripes="0"/>
</table>
</file>

<file path=xl/tables/table52.xml><?xml version="1.0" encoding="utf-8"?>
<table xmlns="http://schemas.openxmlformats.org/spreadsheetml/2006/main" id="46" name="Table_Default__XLS_TAB_30_347" displayName="Table_Default__XLS_TAB_30_347" ref="A9:O19" tableType="queryTable" headerRowCount="0" totalsRowShown="0" headerRowDxfId="843" dataDxfId="842" tableBorderDxfId="841" headerRowCellStyle="Normal 2" dataCellStyle="Normal 2">
  <tableColumns count="15">
    <tableColumn id="1" uniqueName="1" name="AGE_LEVEL_ARB" queryTableFieldId="1" headerRowDxfId="840" dataDxfId="839" headerRowCellStyle="Normal 2" dataCellStyle="TXT1"/>
    <tableColumn id="2" uniqueName="2" name="B_CONS_CNT" queryTableFieldId="2" headerRowDxfId="838" dataDxfId="837" headerRowCellStyle="Normal 2" dataCellStyle="Normal 2"/>
    <tableColumn id="3" uniqueName="3" name="BELOW_1_CNT" queryTableFieldId="3" headerRowDxfId="836" dataDxfId="835" headerRowCellStyle="Normal 2" dataCellStyle="Normal 2"/>
    <tableColumn id="4" uniqueName="4" name="CNT_1" queryTableFieldId="4" headerRowDxfId="834" dataDxfId="833" headerRowCellStyle="Normal 2" dataCellStyle="Normal 2"/>
    <tableColumn id="5" uniqueName="5" name="CNT_2" queryTableFieldId="5" headerRowDxfId="832" dataDxfId="831" headerRowCellStyle="Normal 2" dataCellStyle="Normal 2"/>
    <tableColumn id="6" uniqueName="6" name="CNT_3" queryTableFieldId="6" headerRowDxfId="830" dataDxfId="829" headerRowCellStyle="Normal 2" dataCellStyle="Normal 2"/>
    <tableColumn id="7" uniqueName="7" name="CNT_4" queryTableFieldId="7" headerRowDxfId="828" dataDxfId="827" headerRowCellStyle="Normal 2" dataCellStyle="Normal 2"/>
    <tableColumn id="8" uniqueName="8" name="CNT_5_9" queryTableFieldId="8" headerRowDxfId="826" dataDxfId="825" headerRowCellStyle="Normal 2" dataCellStyle="Normal 2"/>
    <tableColumn id="9" uniqueName="9" name="CNT_10_14" queryTableFieldId="9" headerRowDxfId="824" dataDxfId="823" headerRowCellStyle="Normal 2" dataCellStyle="Normal 2"/>
    <tableColumn id="10" uniqueName="10" name="CNT_15_19" queryTableFieldId="10" headerRowDxfId="822" dataDxfId="821" headerRowCellStyle="Normal 2" dataCellStyle="Normal 2"/>
    <tableColumn id="11" uniqueName="11" name="CNT_20_24" queryTableFieldId="11" headerRowDxfId="820" dataDxfId="819" headerRowCellStyle="Normal 2" dataCellStyle="Normal 2"/>
    <tableColumn id="12" uniqueName="12" name="CNT_UP_25" queryTableFieldId="12" headerRowDxfId="818" dataDxfId="817" headerRowCellStyle="Normal 2" dataCellStyle="Normal 2"/>
    <tableColumn id="13" uniqueName="13" name="NOT_STATED" queryTableFieldId="13" headerRowDxfId="816" dataDxfId="815" headerRowCellStyle="Normal 2" dataCellStyle="Normal 2"/>
    <tableColumn id="14" uniqueName="14" name="TOTAL" queryTableFieldId="14" headerRowDxfId="814" dataDxfId="813" headerRowCellStyle="Normal 2" dataCellStyle="TXT2">
      <calculatedColumnFormula>SUM(Table_Default__XLS_TAB_30_347[[#This Row],[B_CONS_CNT]:[NOT_STATED]])</calculatedColumnFormula>
    </tableColumn>
    <tableColumn id="15" uniqueName="15" name="AGE_LEVEL_ENG" queryTableFieldId="15" headerRowDxfId="812" dataDxfId="811" headerRowCellStyle="Normal 2" dataCellStyle="TXT1"/>
  </tableColumns>
  <tableStyleInfo name="VITAL" showFirstColumn="0" showLastColumn="0" showRowStripes="1" showColumnStripes="0"/>
</table>
</file>

<file path=xl/tables/table53.xml><?xml version="1.0" encoding="utf-8"?>
<table xmlns="http://schemas.openxmlformats.org/spreadsheetml/2006/main" id="43" name="Table_Default__XLS_TAB_30_344" displayName="Table_Default__XLS_TAB_30_344" ref="A9:O19" tableType="queryTable" headerRowCount="0" totalsRowShown="0" headerRowDxfId="810" dataDxfId="809" tableBorderDxfId="808" headerRowCellStyle="Normal 2" dataCellStyle="Normal 2">
  <tableColumns count="15">
    <tableColumn id="1" uniqueName="1" name="AGE_LEVEL_ARB" queryTableFieldId="1" headerRowDxfId="807" dataDxfId="806" headerRowCellStyle="Normal 2" dataCellStyle="TXT1"/>
    <tableColumn id="2" uniqueName="2" name="B_CONS_CNT" queryTableFieldId="2" headerRowDxfId="805" dataDxfId="804" headerRowCellStyle="Normal 2" dataCellStyle="Normal 2"/>
    <tableColumn id="3" uniqueName="3" name="BELOW_1_CNT" queryTableFieldId="3" headerRowDxfId="803" dataDxfId="802" headerRowCellStyle="Normal 2" dataCellStyle="Normal 2"/>
    <tableColumn id="4" uniqueName="4" name="CNT_1" queryTableFieldId="4" headerRowDxfId="801" dataDxfId="800" headerRowCellStyle="Normal 2" dataCellStyle="Normal 2"/>
    <tableColumn id="5" uniqueName="5" name="CNT_2" queryTableFieldId="5" headerRowDxfId="799" dataDxfId="798" headerRowCellStyle="Normal 2" dataCellStyle="Normal 2"/>
    <tableColumn id="6" uniqueName="6" name="CNT_3" queryTableFieldId="6" headerRowDxfId="797" dataDxfId="796" headerRowCellStyle="Normal 2" dataCellStyle="Normal 2"/>
    <tableColumn id="7" uniqueName="7" name="CNT_4" queryTableFieldId="7" headerRowDxfId="795" dataDxfId="794" headerRowCellStyle="Normal 2" dataCellStyle="Normal 2"/>
    <tableColumn id="8" uniqueName="8" name="CNT_5_9" queryTableFieldId="8" headerRowDxfId="793" dataDxfId="792" headerRowCellStyle="Normal 2" dataCellStyle="Normal 2"/>
    <tableColumn id="9" uniqueName="9" name="CNT_10_14" queryTableFieldId="9" headerRowDxfId="791" dataDxfId="790" headerRowCellStyle="Normal 2" dataCellStyle="Normal 2"/>
    <tableColumn id="10" uniqueName="10" name="CNT_15_19" queryTableFieldId="10" headerRowDxfId="789" dataDxfId="788" headerRowCellStyle="Normal 2" dataCellStyle="Normal 2"/>
    <tableColumn id="11" uniqueName="11" name="CNT_20_24" queryTableFieldId="11" headerRowDxfId="787" dataDxfId="786" headerRowCellStyle="Normal 2" dataCellStyle="Normal 2"/>
    <tableColumn id="12" uniqueName="12" name="CNT_UP_25" queryTableFieldId="12" headerRowDxfId="785" dataDxfId="784" headerRowCellStyle="Normal 2" dataCellStyle="Normal 2"/>
    <tableColumn id="13" uniqueName="13" name="NOT_STATED" queryTableFieldId="13" headerRowDxfId="783" dataDxfId="782" headerRowCellStyle="Normal 2" dataCellStyle="Normal 2"/>
    <tableColumn id="14" uniqueName="14" name="TOTAL" queryTableFieldId="14" headerRowDxfId="781" dataDxfId="780" headerRowCellStyle="Normal 2" dataCellStyle="TXT2">
      <calculatedColumnFormula>SUM(Table_Default__XLS_TAB_30_344[[#This Row],[B_CONS_CNT]:[NOT_STATED]])</calculatedColumnFormula>
    </tableColumn>
    <tableColumn id="15" uniqueName="15" name="AGE_LEVEL_ENG" queryTableFieldId="15" headerRowDxfId="779" dataDxfId="778" headerRowCellStyle="Normal 2" dataCellStyle="TXT1"/>
  </tableColumns>
  <tableStyleInfo name="VITAL" showFirstColumn="0" showLastColumn="0" showRowStripes="1" showColumnStripes="0"/>
</table>
</file>

<file path=xl/tables/table54.xml><?xml version="1.0" encoding="utf-8"?>
<table xmlns="http://schemas.openxmlformats.org/spreadsheetml/2006/main" id="53" name="Table_Default__XLS_TAB_30_3" displayName="Table_Default__XLS_TAB_30_3" ref="A9:O19" tableType="queryTable" headerRowCount="0" totalsRowShown="0" headerRowDxfId="777" dataDxfId="776" tableBorderDxfId="775" headerRowCellStyle="Normal 2" dataCellStyle="Normal 2">
  <tableColumns count="15">
    <tableColumn id="1" uniqueName="1" name="AGE_LEVEL_ARB" queryTableFieldId="1" headerRowDxfId="774" dataDxfId="773" headerRowCellStyle="Normal 2" dataCellStyle="TXT1"/>
    <tableColumn id="2" uniqueName="2" name="B_CONS_CNT" queryTableFieldId="2" headerRowDxfId="772" dataDxfId="771" headerRowCellStyle="Normal 2" dataCellStyle="Normal 2"/>
    <tableColumn id="3" uniqueName="3" name="BELOW_1_CNT" queryTableFieldId="3" headerRowDxfId="770" dataDxfId="769" headerRowCellStyle="Normal 2" dataCellStyle="Normal 2"/>
    <tableColumn id="4" uniqueName="4" name="CNT_1" queryTableFieldId="4" headerRowDxfId="768" dataDxfId="767" headerRowCellStyle="Normal 2" dataCellStyle="Normal 2"/>
    <tableColumn id="5" uniqueName="5" name="CNT_2" queryTableFieldId="5" headerRowDxfId="766" dataDxfId="765" headerRowCellStyle="Normal 2" dataCellStyle="Normal 2"/>
    <tableColumn id="6" uniqueName="6" name="CNT_3" queryTableFieldId="6" headerRowDxfId="764" dataDxfId="763" headerRowCellStyle="Normal 2" dataCellStyle="Normal 2"/>
    <tableColumn id="7" uniqueName="7" name="CNT_4" queryTableFieldId="7" headerRowDxfId="762" dataDxfId="761" headerRowCellStyle="Normal 2" dataCellStyle="Normal 2"/>
    <tableColumn id="8" uniqueName="8" name="CNT_5_9" queryTableFieldId="8" headerRowDxfId="760" dataDxfId="759" headerRowCellStyle="Normal 2" dataCellStyle="Normal 2"/>
    <tableColumn id="9" uniqueName="9" name="CNT_10_14" queryTableFieldId="9" headerRowDxfId="758" dataDxfId="757" headerRowCellStyle="Normal 2" dataCellStyle="Normal 2"/>
    <tableColumn id="10" uniqueName="10" name="CNT_15_19" queryTableFieldId="10" headerRowDxfId="756" dataDxfId="755" headerRowCellStyle="Normal 2" dataCellStyle="Normal 2"/>
    <tableColumn id="11" uniqueName="11" name="CNT_20_24" queryTableFieldId="11" headerRowDxfId="754" dataDxfId="753" headerRowCellStyle="Normal 2" dataCellStyle="Normal 2"/>
    <tableColumn id="12" uniqueName="12" name="CNT_UP_25" queryTableFieldId="12" headerRowDxfId="752" dataDxfId="751" headerRowCellStyle="Normal 2" dataCellStyle="Normal 2"/>
    <tableColumn id="13" uniqueName="13" name="NOT_STATED" queryTableFieldId="13" headerRowDxfId="750" dataDxfId="749" headerRowCellStyle="Normal 2" dataCellStyle="Normal 2"/>
    <tableColumn id="14" uniqueName="14" name="TOTAL" queryTableFieldId="14" headerRowDxfId="748" dataDxfId="747" headerRowCellStyle="Normal 2" dataCellStyle="TXT2">
      <calculatedColumnFormula>SUM(Table_Default__XLS_TAB_30_3[[#This Row],[B_CONS_CNT]:[NOT_STATED]])</calculatedColumnFormula>
    </tableColumn>
    <tableColumn id="15" uniqueName="15" name="AGE_LEVEL_ENG" queryTableFieldId="15" headerRowDxfId="746" dataDxfId="745" headerRowCellStyle="Normal 2" dataCellStyle="TXT1"/>
  </tableColumns>
  <tableStyleInfo name="VITAL" showFirstColumn="0" showLastColumn="0" showRowStripes="1" showColumnStripes="0"/>
</table>
</file>

<file path=xl/tables/table55.xml><?xml version="1.0" encoding="utf-8"?>
<table xmlns="http://schemas.openxmlformats.org/spreadsheetml/2006/main" id="54" name="Table_Default__XLS_TAB_31_1" displayName="Table_Default__XLS_TAB_31_1" ref="A9:N22" tableType="queryTable" headerRowCount="0" totalsRowShown="0" dataDxfId="744" tableBorderDxfId="743" dataCellStyle="Normal 2">
  <tableColumns count="14">
    <tableColumn id="1" uniqueName="1" name="AGE_LEVEL_ARB" queryTableFieldId="1" headerRowDxfId="742" dataDxfId="741" headerRowCellStyle="Normal 2" dataCellStyle="Normal 2"/>
    <tableColumn id="2" uniqueName="2" name="CNT_BELOW_20" queryTableFieldId="2" headerRowDxfId="740" dataDxfId="739" headerRowCellStyle="Normal 2" dataCellStyle="Normal 2"/>
    <tableColumn id="3" uniqueName="3" name="CNT_20_24" queryTableFieldId="3" headerRowDxfId="738" dataDxfId="737" headerRowCellStyle="Normal 2" dataCellStyle="Normal 2"/>
    <tableColumn id="4" uniqueName="4" name="CNT_25_29" queryTableFieldId="4" headerRowDxfId="736" dataDxfId="735" headerRowCellStyle="Normal 2" dataCellStyle="Normal 2"/>
    <tableColumn id="5" uniqueName="5" name="CNT_30_34" queryTableFieldId="5" headerRowDxfId="734" dataDxfId="733" headerRowCellStyle="Normal 2" dataCellStyle="Normal 2"/>
    <tableColumn id="6" uniqueName="6" name="CNT_35_39" queryTableFieldId="6" headerRowDxfId="732" dataDxfId="731" headerRowCellStyle="Normal 2" dataCellStyle="Normal 2"/>
    <tableColumn id="7" uniqueName="7" name="CNT_40_44" queryTableFieldId="7" headerRowDxfId="730" dataDxfId="729" headerRowCellStyle="Normal 2" dataCellStyle="Normal 2"/>
    <tableColumn id="8" uniqueName="8" name="CNT_45_49" queryTableFieldId="8" headerRowDxfId="728" dataDxfId="727" headerRowCellStyle="Normal 2" dataCellStyle="Normal 2"/>
    <tableColumn id="9" uniqueName="9" name="CNT_50_54" queryTableFieldId="9" headerRowDxfId="726" dataDxfId="725" headerRowCellStyle="Normal 2" dataCellStyle="Normal 2"/>
    <tableColumn id="10" uniqueName="10" name="CNT_55_59" queryTableFieldId="10" headerRowDxfId="724" dataDxfId="723" headerRowCellStyle="Normal 2" dataCellStyle="Normal 2"/>
    <tableColumn id="11" uniqueName="11" name="CNT_UP_60" queryTableFieldId="11" headerRowDxfId="722" dataDxfId="721" headerRowCellStyle="Normal 2" dataCellStyle="Normal 2"/>
    <tableColumn id="12" uniqueName="12" name="NOT_STATED" queryTableFieldId="12" headerRowDxfId="720" dataDxfId="719" headerRowCellStyle="Normal 2" dataCellStyle="Normal 2"/>
    <tableColumn id="13" uniqueName="13" name="TOTAL" queryTableFieldId="13" headerRowDxfId="718" dataDxfId="717" headerRowCellStyle="Normal 2" dataCellStyle="Normal 2">
      <calculatedColumnFormula>SUM(Table_Default__XLS_TAB_31_1[[#This Row],[CNT_BELOW_20]:[NOT_STATED]])</calculatedColumnFormula>
    </tableColumn>
    <tableColumn id="14" uniqueName="14" name="AGE_LEVEL_ENG" queryTableFieldId="14" headerRowDxfId="716" dataDxfId="715" headerRowCellStyle="Normal 2" dataCellStyle="Normal 2"/>
  </tableColumns>
  <tableStyleInfo name="VITAL" showFirstColumn="0" showLastColumn="0" showRowStripes="1" showColumnStripes="0"/>
</table>
</file>

<file path=xl/tables/table56.xml><?xml version="1.0" encoding="utf-8"?>
<table xmlns="http://schemas.openxmlformats.org/spreadsheetml/2006/main" id="55" name="Table_Default__XLS_TAB_31_2" displayName="Table_Default__XLS_TAB_31_2" ref="A9:N22" tableType="queryTable" headerRowCount="0" totalsRowShown="0" dataDxfId="714" tableBorderDxfId="713" dataCellStyle="Normal 2">
  <tableColumns count="14">
    <tableColumn id="1" uniqueName="1" name="AGE_LEVEL_ARB" queryTableFieldId="1" headerRowDxfId="712" dataDxfId="711" headerRowCellStyle="Normal 2" dataCellStyle="Normal 2"/>
    <tableColumn id="2" uniqueName="2" name="CNT_BELOW_20" queryTableFieldId="2" headerRowDxfId="710" dataDxfId="709" headerRowCellStyle="Normal 2" dataCellStyle="Normal 2"/>
    <tableColumn id="3" uniqueName="3" name="CNT_20_24" queryTableFieldId="3" headerRowDxfId="708" dataDxfId="707" headerRowCellStyle="Normal 2" dataCellStyle="Normal 2"/>
    <tableColumn id="4" uniqueName="4" name="CNT_25_29" queryTableFieldId="4" headerRowDxfId="706" dataDxfId="705" headerRowCellStyle="Normal 2" dataCellStyle="Normal 2"/>
    <tableColumn id="5" uniqueName="5" name="CNT_30_34" queryTableFieldId="5" headerRowDxfId="704" dataDxfId="703" headerRowCellStyle="Normal 2" dataCellStyle="Normal 2"/>
    <tableColumn id="6" uniqueName="6" name="CNT_35_39" queryTableFieldId="6" headerRowDxfId="702" dataDxfId="701" headerRowCellStyle="Normal 2" dataCellStyle="Normal 2"/>
    <tableColumn id="7" uniqueName="7" name="CNT_40_44" queryTableFieldId="7" headerRowDxfId="700" dataDxfId="699" headerRowCellStyle="Normal 2" dataCellStyle="Normal 2"/>
    <tableColumn id="8" uniqueName="8" name="CNT_45_49" queryTableFieldId="8" headerRowDxfId="698" dataDxfId="697" headerRowCellStyle="Normal 2" dataCellStyle="Normal 2"/>
    <tableColumn id="9" uniqueName="9" name="CNT_50_54" queryTableFieldId="9" headerRowDxfId="696" dataDxfId="695" headerRowCellStyle="Normal 2" dataCellStyle="Normal 2"/>
    <tableColumn id="10" uniqueName="10" name="CNT_55_59" queryTableFieldId="10" headerRowDxfId="694" dataDxfId="693" headerRowCellStyle="Normal 2" dataCellStyle="Normal 2"/>
    <tableColumn id="11" uniqueName="11" name="CNT_UP_60" queryTableFieldId="11" headerRowDxfId="692" dataDxfId="691" headerRowCellStyle="Normal 2" dataCellStyle="Normal 2"/>
    <tableColumn id="12" uniqueName="12" name="NOT_STATED" queryTableFieldId="12" headerRowDxfId="690" dataDxfId="689" headerRowCellStyle="Normal 2" dataCellStyle="Normal 2"/>
    <tableColumn id="13" uniqueName="13" name="TOTAL" queryTableFieldId="13" headerRowDxfId="688" dataDxfId="687" headerRowCellStyle="Normal 2" dataCellStyle="Normal 2">
      <calculatedColumnFormula>SUM(Table_Default__XLS_TAB_31_2[[#This Row],[CNT_BELOW_20]:[NOT_STATED]])</calculatedColumnFormula>
    </tableColumn>
    <tableColumn id="14" uniqueName="14" name="AGE_LEVEL_ENG" queryTableFieldId="14" headerRowDxfId="686" dataDxfId="685" headerRowCellStyle="Normal 2" dataCellStyle="Normal 2"/>
  </tableColumns>
  <tableStyleInfo name="VITAL" showFirstColumn="0" showLastColumn="0" showRowStripes="1" showColumnStripes="0"/>
</table>
</file>

<file path=xl/tables/table57.xml><?xml version="1.0" encoding="utf-8"?>
<table xmlns="http://schemas.openxmlformats.org/spreadsheetml/2006/main" id="56" name="Table_Default__XLS_TAB_31_3" displayName="Table_Default__XLS_TAB_31_3" ref="A9:N22" tableType="queryTable" headerRowCount="0" totalsRowShown="0" dataDxfId="684" tableBorderDxfId="683" dataCellStyle="Normal 2">
  <tableColumns count="14">
    <tableColumn id="1" uniqueName="1" name="AGE_LEVEL_ARB" queryTableFieldId="1" headerRowDxfId="682" dataDxfId="681" headerRowCellStyle="Normal 2" dataCellStyle="Normal 2"/>
    <tableColumn id="2" uniqueName="2" name="CNT_BELOW_20" queryTableFieldId="2" headerRowDxfId="680" dataDxfId="679" headerRowCellStyle="Normal 2" dataCellStyle="Normal 2"/>
    <tableColumn id="3" uniqueName="3" name="CNT_20_24" queryTableFieldId="3" headerRowDxfId="678" dataDxfId="677" headerRowCellStyle="Normal 2" dataCellStyle="Normal 2"/>
    <tableColumn id="4" uniqueName="4" name="CNT_25_29" queryTableFieldId="4" headerRowDxfId="676" dataDxfId="675" headerRowCellStyle="Normal 2" dataCellStyle="Normal 2"/>
    <tableColumn id="5" uniqueName="5" name="CNT_30_34" queryTableFieldId="5" headerRowDxfId="674" dataDxfId="673" headerRowCellStyle="Normal 2" dataCellStyle="Normal 2"/>
    <tableColumn id="6" uniqueName="6" name="CNT_35_39" queryTableFieldId="6" headerRowDxfId="672" dataDxfId="671" headerRowCellStyle="Normal 2" dataCellStyle="Normal 2"/>
    <tableColumn id="7" uniqueName="7" name="CNT_40_44" queryTableFieldId="7" headerRowDxfId="670" dataDxfId="669" headerRowCellStyle="Normal 2" dataCellStyle="Normal 2"/>
    <tableColumn id="8" uniqueName="8" name="CNT_45_49" queryTableFieldId="8" headerRowDxfId="668" dataDxfId="667" headerRowCellStyle="Normal 2" dataCellStyle="Normal 2"/>
    <tableColumn id="9" uniqueName="9" name="CNT_50_54" queryTableFieldId="9" headerRowDxfId="666" dataDxfId="665" headerRowCellStyle="Normal 2" dataCellStyle="Normal 2"/>
    <tableColumn id="10" uniqueName="10" name="CNT_55_59" queryTableFieldId="10" headerRowDxfId="664" dataDxfId="663" headerRowCellStyle="Normal 2" dataCellStyle="Normal 2"/>
    <tableColumn id="11" uniqueName="11" name="CNT_UP_60" queryTableFieldId="11" headerRowDxfId="662" dataDxfId="661" headerRowCellStyle="Normal 2" dataCellStyle="Normal 2"/>
    <tableColumn id="12" uniqueName="12" name="NOT_STATED" queryTableFieldId="12" headerRowDxfId="660" dataDxfId="659" headerRowCellStyle="Normal 2" dataCellStyle="Normal 2"/>
    <tableColumn id="13" uniqueName="13" name="TOTAL" queryTableFieldId="13" headerRowDxfId="658" dataDxfId="657" headerRowCellStyle="Normal 2" dataCellStyle="Normal 2">
      <calculatedColumnFormula>SUM(Table_Default__XLS_TAB_31_3[[#This Row],[CNT_BELOW_20]:[NOT_STATED]])</calculatedColumnFormula>
    </tableColumn>
    <tableColumn id="14" uniqueName="14" name="AGE_LEVEL_ENG" queryTableFieldId="14" headerRowDxfId="656" dataDxfId="655" headerRowCellStyle="Normal 2" dataCellStyle="Normal 2"/>
  </tableColumns>
  <tableStyleInfo name="VITAL" showFirstColumn="0" showLastColumn="0" showRowStripes="1" showColumnStripes="0"/>
</table>
</file>

<file path=xl/tables/table58.xml><?xml version="1.0" encoding="utf-8"?>
<table xmlns="http://schemas.openxmlformats.org/spreadsheetml/2006/main" id="57" name="Table_Default__XLS_TAB_32" displayName="Table_Default__XLS_TAB_32" ref="A8:Q13" tableType="queryTable" headerRowCount="0" totalsRowShown="0" dataDxfId="654" tableBorderDxfId="653" dataCellStyle="Normal 2">
  <tableColumns count="17">
    <tableColumn id="1" uniqueName="1" name="AREA_ARB" queryTableFieldId="1" headerRowDxfId="652" dataDxfId="651" headerRowCellStyle="Normal 2" dataCellStyle="Normal 2"/>
    <tableColumn id="2" uniqueName="2" name="CNT_BELOW_20" queryTableFieldId="2" headerRowDxfId="650" dataDxfId="649" headerRowCellStyle="Normal 2" dataCellStyle="Normal 2"/>
    <tableColumn id="3" uniqueName="3" name="CNT_20_24" queryTableFieldId="3" headerRowDxfId="648" dataDxfId="647" headerRowCellStyle="Normal 2" dataCellStyle="Normal 2"/>
    <tableColumn id="4" uniqueName="4" name="CNT_25_29" queryTableFieldId="4" headerRowDxfId="646" dataDxfId="645" headerRowCellStyle="Normal 2" dataCellStyle="Normal 2"/>
    <tableColumn id="5" uniqueName="5" name="CNT_30_34" queryTableFieldId="5" headerRowDxfId="644" dataDxfId="643" headerRowCellStyle="Normal 2" dataCellStyle="Normal 2"/>
    <tableColumn id="6" uniqueName="6" name="CNT_35_39" queryTableFieldId="6" headerRowDxfId="642" dataDxfId="641" headerRowCellStyle="Normal 2" dataCellStyle="Normal 2"/>
    <tableColumn id="7" uniqueName="7" name="CNT_40_44" queryTableFieldId="7" headerRowDxfId="640" dataDxfId="639" headerRowCellStyle="Normal 2" dataCellStyle="Normal 2"/>
    <tableColumn id="8" uniqueName="8" name="CNT_45_49" queryTableFieldId="8" headerRowDxfId="638" dataDxfId="637" headerRowCellStyle="Normal 2" dataCellStyle="Normal 2"/>
    <tableColumn id="9" uniqueName="9" name="CNT_50_54" queryTableFieldId="9" headerRowDxfId="636" dataDxfId="635" headerRowCellStyle="Normal 2" dataCellStyle="Normal 2"/>
    <tableColumn id="10" uniqueName="10" name="CNT_55_59" queryTableFieldId="10" headerRowDxfId="634" dataDxfId="633" headerRowCellStyle="Normal 2" dataCellStyle="Normal 2"/>
    <tableColumn id="11" uniqueName="11" name="CNT_60_64" queryTableFieldId="11" headerRowDxfId="632" dataDxfId="631" headerRowCellStyle="Normal 2" dataCellStyle="Normal 2"/>
    <tableColumn id="12" uniqueName="12" name="CNT_65_69" queryTableFieldId="12" headerRowDxfId="630" dataDxfId="629" headerRowCellStyle="Normal 2" dataCellStyle="Normal 2"/>
    <tableColumn id="13" uniqueName="13" name="CNT_70_74" queryTableFieldId="13" headerRowDxfId="628" dataDxfId="627" headerRowCellStyle="Normal 2" dataCellStyle="Normal 2"/>
    <tableColumn id="14" uniqueName="14" name="CNT_UP_75" queryTableFieldId="14" headerRowDxfId="626" dataDxfId="625" headerRowCellStyle="Normal 2" dataCellStyle="Normal 2"/>
    <tableColumn id="15" uniqueName="15" name="NOT_STATED" queryTableFieldId="15" headerRowDxfId="624" dataDxfId="623" headerRowCellStyle="Normal 2" dataCellStyle="Normal 2"/>
    <tableColumn id="16" uniqueName="16" name="TOTAL" queryTableFieldId="16" headerRowDxfId="622" dataDxfId="621" headerRowCellStyle="Normal 2" dataCellStyle="Normal 2">
      <calculatedColumnFormula>SUM(Table_Default__XLS_TAB_32[[#This Row],[CNT_BELOW_20]:[NOT_STATED]])</calculatedColumnFormula>
    </tableColumn>
    <tableColumn id="17" uniqueName="17" name="AREA_ENG" queryTableFieldId="17" headerRowDxfId="620" dataDxfId="619" headerRowCellStyle="Normal 2" dataCellStyle="TXT1"/>
  </tableColumns>
  <tableStyleInfo name="VITAL" showFirstColumn="0" showLastColumn="0" showRowStripes="1" showColumnStripes="0"/>
</table>
</file>

<file path=xl/tables/table59.xml><?xml version="1.0" encoding="utf-8"?>
<table xmlns="http://schemas.openxmlformats.org/spreadsheetml/2006/main" id="58" name="Table_Default__XLS_TAB_33" displayName="Table_Default__XLS_TAB_33" ref="A8:N13" tableType="queryTable" headerRowCount="0" totalsRowShown="0" dataDxfId="618" tableBorderDxfId="617" dataCellStyle="Normal 2">
  <tableColumns count="14">
    <tableColumn id="1" uniqueName="1" name="AREA_ARB" queryTableFieldId="1" headerRowDxfId="616" dataDxfId="615" headerRowCellStyle="Normal 2" dataCellStyle="Normal 2"/>
    <tableColumn id="2" uniqueName="2" name="CNT_BELOW_20" queryTableFieldId="2" headerRowDxfId="614" dataDxfId="613" headerRowCellStyle="Normal 2" dataCellStyle="Normal 2"/>
    <tableColumn id="3" uniqueName="3" name="CNT_20_24" queryTableFieldId="3" headerRowDxfId="612" dataDxfId="611" headerRowCellStyle="Normal 2" dataCellStyle="Normal 2"/>
    <tableColumn id="4" uniqueName="4" name="CNT_25_29" queryTableFieldId="4" headerRowDxfId="610" dataDxfId="609" headerRowCellStyle="Normal 2" dataCellStyle="Normal 2"/>
    <tableColumn id="5" uniqueName="5" name="CNT_30_34" queryTableFieldId="5" headerRowDxfId="608" dataDxfId="607" headerRowCellStyle="Normal 2" dataCellStyle="Normal 2"/>
    <tableColumn id="6" uniqueName="6" name="CNT_35_39" queryTableFieldId="6" headerRowDxfId="606" dataDxfId="605" headerRowCellStyle="Normal 2" dataCellStyle="Normal 2"/>
    <tableColumn id="7" uniqueName="7" name="CNT_40_44" queryTableFieldId="7" headerRowDxfId="604" dataDxfId="603" headerRowCellStyle="Normal 2" dataCellStyle="Normal 2"/>
    <tableColumn id="8" uniqueName="8" name="CNT_45_49" queryTableFieldId="8" headerRowDxfId="602" dataDxfId="601" headerRowCellStyle="Normal 2" dataCellStyle="Normal 2"/>
    <tableColumn id="9" uniqueName="9" name="CNT_50_54" queryTableFieldId="9" headerRowDxfId="600" dataDxfId="599" headerRowCellStyle="Normal 2" dataCellStyle="Normal 2"/>
    <tableColumn id="10" uniqueName="10" name="CNT_55_59" queryTableFieldId="10" headerRowDxfId="598" dataDxfId="597" headerRowCellStyle="Normal 2" dataCellStyle="Normal 2"/>
    <tableColumn id="11" uniqueName="11" name="CNT_UP_60" queryTableFieldId="11" headerRowDxfId="596" dataDxfId="595" headerRowCellStyle="Normal 2" dataCellStyle="Normal 2"/>
    <tableColumn id="12" uniqueName="12" name="NOT_STATED" queryTableFieldId="12" headerRowDxfId="594" dataDxfId="593" headerRowCellStyle="Normal 2" dataCellStyle="Normal 2"/>
    <tableColumn id="13" uniqueName="13" name="TOTAL" queryTableFieldId="13" headerRowDxfId="592" dataDxfId="591" headerRowCellStyle="Normal 2" dataCellStyle="Normal 2">
      <calculatedColumnFormula>SUM(Table_Default__XLS_TAB_33[[#This Row],[CNT_BELOW_20]:[NOT_STATED]])</calculatedColumnFormula>
    </tableColumn>
    <tableColumn id="14" uniqueName="14" name="AREA_ENG" queryTableFieldId="14" headerRowDxfId="590" dataDxfId="589" headerRowCellStyle="Normal 2" dataCellStyle="TXT1"/>
  </tableColumns>
  <tableStyleInfo name="VITAL" showFirstColumn="0" showLastColumn="0" showRowStripes="1" showColumnStripes="0"/>
</table>
</file>

<file path=xl/tables/table6.xml><?xml version="1.0" encoding="utf-8"?>
<table xmlns="http://schemas.openxmlformats.org/spreadsheetml/2006/main" id="6" name="Table_Default__XLS_TAB_10" displayName="Table_Default__XLS_TAB_10" ref="A8:N14" tableType="queryTable" headerRowCount="0" totalsRowCount="1" headerRowDxfId="2111" dataDxfId="2110" totalsRowDxfId="2108" tableBorderDxfId="2109" totalsRowBorderDxfId="2107">
  <tableColumns count="14">
    <tableColumn id="1" uniqueName="1" name="NAT_DESC_ARB" totalsRowLabel="المجموع" queryTableFieldId="1" headerRowDxfId="2106" dataDxfId="2105" totalsRowDxfId="2104" headerRowCellStyle="Normal 2" dataCellStyle="Normal 2"/>
    <tableColumn id="2" uniqueName="2" name="AGE_LEVEL_LESS_20" totalsRowFunction="sum" queryTableFieldId="2" headerRowDxfId="2103" dataDxfId="2102" totalsRowDxfId="2101" headerRowCellStyle="Normal 2" dataCellStyle="Normal 2"/>
    <tableColumn id="3" uniqueName="3" name="AGE_LEVEL_20_24" totalsRowFunction="sum" queryTableFieldId="3" headerRowDxfId="2100" dataDxfId="2099" totalsRowDxfId="2098" headerRowCellStyle="Normal 2" dataCellStyle="Normal 2"/>
    <tableColumn id="4" uniqueName="4" name="AGE_LEVEL_25_29" totalsRowFunction="sum" queryTableFieldId="4" headerRowDxfId="2097" dataDxfId="2096" totalsRowDxfId="2095" headerRowCellStyle="Normal 2" dataCellStyle="Normal 2"/>
    <tableColumn id="5" uniqueName="5" name="AGE_LEVEL_30_34" totalsRowFunction="sum" queryTableFieldId="5" headerRowDxfId="2094" dataDxfId="2093" totalsRowDxfId="2092" headerRowCellStyle="Normal 2" dataCellStyle="Normal 2"/>
    <tableColumn id="6" uniqueName="6" name="AGE_LEVEL_35_39" totalsRowFunction="sum" queryTableFieldId="6" headerRowDxfId="2091" dataDxfId="2090" totalsRowDxfId="2089" headerRowCellStyle="Normal 2" dataCellStyle="Normal 2"/>
    <tableColumn id="7" uniqueName="7" name="AGE_LEVEL_40_44" totalsRowFunction="sum" queryTableFieldId="7" headerRowDxfId="2088" dataDxfId="2087" totalsRowDxfId="2086" headerRowCellStyle="Normal 2" dataCellStyle="Normal 2"/>
    <tableColumn id="8" uniqueName="8" name="AGE_LEVEL_45_49" totalsRowFunction="sum" queryTableFieldId="8" headerRowDxfId="2085" dataDxfId="2084" totalsRowDxfId="2083" headerRowCellStyle="Normal 2" dataCellStyle="Normal 2"/>
    <tableColumn id="9" uniqueName="9" name="AGE_LEVEL_50_54" totalsRowFunction="sum" queryTableFieldId="9" headerRowDxfId="2082" dataDxfId="2081" totalsRowDxfId="2080" headerRowCellStyle="Normal 2" dataCellStyle="Normal 2"/>
    <tableColumn id="10" uniqueName="10" name="AGE_LEVEL_55_59" totalsRowFunction="sum" queryTableFieldId="10" headerRowDxfId="2079" dataDxfId="2078" totalsRowDxfId="2077" headerRowCellStyle="Normal 2" dataCellStyle="Normal 2"/>
    <tableColumn id="11" uniqueName="11" name="AGE_LEVEL_UP_60" totalsRowFunction="sum" queryTableFieldId="11" headerRowDxfId="2076" dataDxfId="2075" totalsRowDxfId="2074" headerRowCellStyle="Normal 2" dataCellStyle="Normal 2"/>
    <tableColumn id="12" uniqueName="12" name="AGE_LEVEL_NOT_STATED" totalsRowFunction="sum" queryTableFieldId="12" headerRowDxfId="2073" dataDxfId="2072" totalsRowDxfId="2071" headerRowCellStyle="Normal 2" dataCellStyle="Normal 2"/>
    <tableColumn id="13" uniqueName="13" name="TOTAL" totalsRowFunction="sum" queryTableFieldId="13" headerRowDxfId="2070" dataDxfId="2069" totalsRowDxfId="2068" headerRowCellStyle="Normal 2" dataCellStyle="Normal 2"/>
    <tableColumn id="14" uniqueName="14" name="NAT_DESC_ENG" totalsRowLabel="Total" queryTableFieldId="14" headerRowDxfId="2067" dataDxfId="2066" totalsRowDxfId="2065" headerRowCellStyle="Normal 2" dataCellStyle="TXT1"/>
  </tableColumns>
  <tableStyleInfo name="VITAL" showFirstColumn="0" showLastColumn="0" showRowStripes="1" showColumnStripes="0"/>
</table>
</file>

<file path=xl/tables/table60.xml><?xml version="1.0" encoding="utf-8"?>
<table xmlns="http://schemas.openxmlformats.org/spreadsheetml/2006/main" id="35" name="Table_Default__XLS_TAB_3436" displayName="Table_Default__XLS_TAB_3436" ref="B8:H13" tableType="queryTable" headerRowCount="0" totalsRowShown="0" headerRowDxfId="588" dataDxfId="587" tableBorderDxfId="586" headerRowCellStyle="Normal 2" dataCellStyle="Normal 2">
  <tableColumns count="7">
    <tableColumn id="1" uniqueName="1" name="QATAR" queryTableFieldId="1" headerRowDxfId="585" dataDxfId="584" headerRowCellStyle="Normal 2" dataCellStyle="Normal 2"/>
    <tableColumn id="2" uniqueName="2" name="OTHER_G_C_C_COUNTRIES" queryTableFieldId="2" headerRowDxfId="583" dataDxfId="582" headerRowCellStyle="Normal 2" dataCellStyle="Normal 2"/>
    <tableColumn id="3" uniqueName="3" name="OTHER_ARAB_COUNTRIES" queryTableFieldId="3" headerRowDxfId="581" dataDxfId="580" headerRowCellStyle="Normal 2" dataCellStyle="Normal 2"/>
    <tableColumn id="4" uniqueName="4" name="ASIAN_COUNTRIES" queryTableFieldId="4" headerRowDxfId="579" dataDxfId="578" headerRowCellStyle="Normal 2" dataCellStyle="Normal 2"/>
    <tableColumn id="5" uniqueName="5" name="EUROPEAN_COUNTRIES" queryTableFieldId="5" headerRowDxfId="577" dataDxfId="576" headerRowCellStyle="Normal 2" dataCellStyle="Normal 2"/>
    <tableColumn id="6" uniqueName="6" name="OTHER_COUNTRIES" queryTableFieldId="6" headerRowDxfId="575" dataDxfId="574" headerRowCellStyle="Normal 2" dataCellStyle="Normal 2"/>
    <tableColumn id="7" uniqueName="7" name="TOTAL" queryTableFieldId="7" headerRowDxfId="573" dataDxfId="572" headerRowCellStyle="Normal 2" dataCellStyle="TXT2"/>
  </tableColumns>
  <tableStyleInfo name="VITAL" showFirstColumn="0" showLastColumn="0" showRowStripes="1" showColumnStripes="0"/>
</table>
</file>

<file path=xl/tables/table61.xml><?xml version="1.0" encoding="utf-8"?>
<table xmlns="http://schemas.openxmlformats.org/spreadsheetml/2006/main" id="60" name="Table_Default__XLS_TAB_35" displayName="Table_Default__XLS_TAB_35" ref="A9:N22" tableType="queryTable" headerRowCount="0" totalsRowShown="0" headerRowDxfId="571" dataDxfId="570" tableBorderDxfId="569" headerRowCellStyle="Normal 2" dataCellStyle="Normal 2">
  <tableColumns count="14">
    <tableColumn id="1" uniqueName="1" name="AGE_LEVEL_ARB" queryTableFieldId="1" headerRowDxfId="568" dataDxfId="567" headerRowCellStyle="Normal 2" dataCellStyle="Normal 2"/>
    <tableColumn id="2" uniqueName="2" name="Q_NONE_CNT" queryTableFieldId="2" headerRowDxfId="566" dataDxfId="565" headerRowCellStyle="Normal 2" dataCellStyle="Normal 2"/>
    <tableColumn id="3" uniqueName="3" name="Q_1_CNT" queryTableFieldId="3" headerRowDxfId="564" dataDxfId="563" headerRowCellStyle="Normal 2" dataCellStyle="Normal 2"/>
    <tableColumn id="4" uniqueName="4" name="Q_2_CNT" queryTableFieldId="4" headerRowDxfId="562" dataDxfId="561" headerRowCellStyle="Normal 2" dataCellStyle="Normal 2"/>
    <tableColumn id="5" uniqueName="5" name="Q_4_CNT" queryTableFieldId="5" headerRowDxfId="560" dataDxfId="559" headerRowCellStyle="Normal 2" dataCellStyle="Normal 2"/>
    <tableColumn id="6" uniqueName="6" name="Q_NOT_STATED" queryTableFieldId="6" headerRowDxfId="558" dataDxfId="557" headerRowCellStyle="Normal 2" dataCellStyle="Normal 2"/>
    <tableColumn id="7" uniqueName="7" name="Q_TOT_CNT" queryTableFieldId="7" headerRowDxfId="556" dataDxfId="555" headerRowCellStyle="Normal 2" dataCellStyle="Normal 2"/>
    <tableColumn id="8" uniqueName="8" name="NQ_NONE_CNT" queryTableFieldId="8" headerRowDxfId="554" dataDxfId="553" headerRowCellStyle="Normal 2" dataCellStyle="Normal 2"/>
    <tableColumn id="9" uniqueName="9" name="NQ_1_CNT" queryTableFieldId="9" headerRowDxfId="552" dataDxfId="551" headerRowCellStyle="Normal 2" dataCellStyle="Normal 2"/>
    <tableColumn id="10" uniqueName="10" name="NQ_2_CNT" queryTableFieldId="10" headerRowDxfId="550" dataDxfId="549" headerRowCellStyle="Normal 2" dataCellStyle="Normal 2"/>
    <tableColumn id="11" uniqueName="11" name="NQ_4_CNT" queryTableFieldId="11" headerRowDxfId="548" dataDxfId="547" headerRowCellStyle="Normal 2" dataCellStyle="Normal 2"/>
    <tableColumn id="12" uniqueName="12" name="NQ_NOT_STATED" queryTableFieldId="12" headerRowDxfId="546" dataDxfId="545" headerRowCellStyle="Normal 2" dataCellStyle="Normal 2"/>
    <tableColumn id="13" uniqueName="13" name="NQ_TOT_CNT" queryTableFieldId="13" headerRowDxfId="544" dataDxfId="543" headerRowCellStyle="Normal 2" dataCellStyle="Normal 2"/>
    <tableColumn id="14" uniqueName="14" name="AGE_LEVEL_ENG" queryTableFieldId="14" headerRowDxfId="542" dataDxfId="541" headerRowCellStyle="Normal 2" dataCellStyle="Normal 2"/>
  </tableColumns>
  <tableStyleInfo name="VITAL" showFirstColumn="0" showLastColumn="0" showRowStripes="1" showColumnStripes="0"/>
</table>
</file>

<file path=xl/tables/table62.xml><?xml version="1.0" encoding="utf-8"?>
<table xmlns="http://schemas.openxmlformats.org/spreadsheetml/2006/main" id="59" name="Table_Default__XLS_TAB_36_160" displayName="Table_Default__XLS_TAB_36_160" ref="B9:J16" tableType="queryTable" headerRowCount="0" totalsRowShown="0" headerRowDxfId="540" dataDxfId="539" tableBorderDxfId="538" headerRowCellStyle="Normal 2" dataCellStyle="Normal 2">
  <tableColumns count="9">
    <tableColumn id="1" uniqueName="1" name="ILLITERATE_CNT" queryTableFieldId="1" headerRowDxfId="537" dataDxfId="536" headerRowCellStyle="Normal 2" dataCellStyle="Normal 2"/>
    <tableColumn id="2" uniqueName="2" name="READ_AND_WRITE_CNT" queryTableFieldId="2" headerRowDxfId="535" dataDxfId="534" headerRowCellStyle="Normal 2" dataCellStyle="Normal 2"/>
    <tableColumn id="3" uniqueName="3" name="PRIMARY_CNT" queryTableFieldId="3" headerRowDxfId="533" dataDxfId="532" headerRowCellStyle="Normal 2" dataCellStyle="Normal 2"/>
    <tableColumn id="4" uniqueName="4" name="PREPARATORY_CNT" queryTableFieldId="4" headerRowDxfId="531" dataDxfId="530" headerRowCellStyle="Normal 2" dataCellStyle="Normal 2"/>
    <tableColumn id="5" uniqueName="5" name="SECONDARY_CNT" queryTableFieldId="5" headerRowDxfId="529" dataDxfId="528" headerRowCellStyle="Normal 2" dataCellStyle="Normal 2"/>
    <tableColumn id="6" uniqueName="6" name="PRE_UNIVERSITY_CNT" queryTableFieldId="6" headerRowDxfId="527" dataDxfId="526" headerRowCellStyle="Normal 2" dataCellStyle="Normal 2"/>
    <tableColumn id="7" uniqueName="7" name="UNIV_ABOVE_CNT" queryTableFieldId="7" headerRowDxfId="525" dataDxfId="524" headerRowCellStyle="Normal 2" dataCellStyle="Normal 2"/>
    <tableColumn id="8" uniqueName="8" name="NOT_STATED_CNT" queryTableFieldId="8" headerRowDxfId="523" dataDxfId="522" headerRowCellStyle="Normal 2" dataCellStyle="Normal 2"/>
    <tableColumn id="9" uniqueName="9" name="TOTAL" queryTableFieldId="9" headerRowDxfId="521" dataDxfId="520" headerRowCellStyle="Normal 2" dataCellStyle="Normal 2"/>
  </tableColumns>
  <tableStyleInfo name="VITAL" showFirstColumn="0" showLastColumn="0" showRowStripes="1" showColumnStripes="0"/>
</table>
</file>

<file path=xl/tables/table63.xml><?xml version="1.0" encoding="utf-8"?>
<table xmlns="http://schemas.openxmlformats.org/spreadsheetml/2006/main" id="79" name="Table_Default__XLS_TAB_36_280" displayName="Table_Default__XLS_TAB_36_280" ref="B9:J16" tableType="queryTable" headerRowCount="0" totalsRowShown="0" headerRowDxfId="519" dataDxfId="518" tableBorderDxfId="517" headerRowCellStyle="Normal 2" dataCellStyle="Normal 2">
  <tableColumns count="9">
    <tableColumn id="1" uniqueName="1" name="ILLITERATE_CNT" queryTableFieldId="1" headerRowDxfId="516" dataDxfId="515" headerRowCellStyle="Normal 2" dataCellStyle="Normal 2"/>
    <tableColumn id="2" uniqueName="2" name="READ_AND_WRITE_CNT" queryTableFieldId="2" headerRowDxfId="514" dataDxfId="513" headerRowCellStyle="Normal 2" dataCellStyle="Normal 2"/>
    <tableColumn id="3" uniqueName="3" name="PRIMARY_CNT" queryTableFieldId="3" headerRowDxfId="512" dataDxfId="511" headerRowCellStyle="Normal 2" dataCellStyle="Normal 2"/>
    <tableColumn id="4" uniqueName="4" name="PREPARATORY_CNT" queryTableFieldId="4" headerRowDxfId="510" dataDxfId="509" headerRowCellStyle="Normal 2" dataCellStyle="Normal 2"/>
    <tableColumn id="5" uniqueName="5" name="SECONDARY_CNT" queryTableFieldId="5" headerRowDxfId="508" dataDxfId="507" headerRowCellStyle="Normal 2" dataCellStyle="Normal 2"/>
    <tableColumn id="6" uniqueName="6" name="PRE_UNIVERSITY_CNT" queryTableFieldId="6" headerRowDxfId="506" dataDxfId="505" headerRowCellStyle="Normal 2" dataCellStyle="Normal 2"/>
    <tableColumn id="7" uniqueName="7" name="UNIV_ABOVE_CNT" queryTableFieldId="7" headerRowDxfId="504" dataDxfId="503" headerRowCellStyle="Normal 2" dataCellStyle="Normal 2"/>
    <tableColumn id="8" uniqueName="8" name="NOT_STATED_CNT" queryTableFieldId="8" headerRowDxfId="502" dataDxfId="501" headerRowCellStyle="Normal 2" dataCellStyle="Normal 2"/>
    <tableColumn id="9" uniqueName="9" name="TOTAL" queryTableFieldId="9" headerRowDxfId="500" dataDxfId="499" headerRowCellStyle="Normal 2" dataCellStyle="Normal 2"/>
  </tableColumns>
  <tableStyleInfo name="VITAL" showFirstColumn="0" showLastColumn="0" showRowStripes="1" showColumnStripes="0"/>
</table>
</file>

<file path=xl/tables/table64.xml><?xml version="1.0" encoding="utf-8"?>
<table xmlns="http://schemas.openxmlformats.org/spreadsheetml/2006/main" id="82" name="Table_Default__XLS_TAB_36_383" displayName="Table_Default__XLS_TAB_36_383" ref="B9:J16" tableType="queryTable" headerRowCount="0" totalsRowShown="0" headerRowDxfId="498" dataDxfId="497" tableBorderDxfId="496" headerRowCellStyle="Normal 2" dataCellStyle="Normal 2">
  <tableColumns count="9">
    <tableColumn id="1" uniqueName="1" name="ILLITERATE_CNT" queryTableFieldId="1" headerRowDxfId="495" dataDxfId="494" headerRowCellStyle="Normal 2" dataCellStyle="Normal 2"/>
    <tableColumn id="2" uniqueName="2" name="READ_AND_WRITE_CNT" queryTableFieldId="2" headerRowDxfId="493" dataDxfId="492" headerRowCellStyle="Normal 2" dataCellStyle="Normal 2"/>
    <tableColumn id="3" uniqueName="3" name="PRIMARY_CNT" queryTableFieldId="3" headerRowDxfId="491" dataDxfId="490" headerRowCellStyle="Normal 2" dataCellStyle="Normal 2"/>
    <tableColumn id="4" uniqueName="4" name="PREPARATORY_CNT" queryTableFieldId="4" headerRowDxfId="489" dataDxfId="488" headerRowCellStyle="Normal 2" dataCellStyle="Normal 2"/>
    <tableColumn id="5" uniqueName="5" name="SECONDARY_CNT" queryTableFieldId="5" headerRowDxfId="487" dataDxfId="486" headerRowCellStyle="Normal 2" dataCellStyle="Normal 2"/>
    <tableColumn id="6" uniqueName="6" name="PRE_UNIVERSITY_CNT" queryTableFieldId="6" headerRowDxfId="485" dataDxfId="484" headerRowCellStyle="Normal 2" dataCellStyle="Normal 2"/>
    <tableColumn id="7" uniqueName="7" name="UNIV_ABOVE_CNT" queryTableFieldId="7" headerRowDxfId="483" dataDxfId="482" headerRowCellStyle="Normal 2" dataCellStyle="Normal 2"/>
    <tableColumn id="8" uniqueName="8" name="NOT_STATED_CNT" queryTableFieldId="8" headerRowDxfId="481" dataDxfId="480" headerRowCellStyle="Normal 2" dataCellStyle="Normal 2"/>
    <tableColumn id="9" uniqueName="9" name="TOTAL" queryTableFieldId="9" headerRowDxfId="479" dataDxfId="478" headerRowCellStyle="Normal 2" dataCellStyle="Normal 2"/>
  </tableColumns>
  <tableStyleInfo name="VITAL" showFirstColumn="0" showLastColumn="0" showRowStripes="1" showColumnStripes="0"/>
</table>
</file>

<file path=xl/tables/table65.xml><?xml version="1.0" encoding="utf-8"?>
<table xmlns="http://schemas.openxmlformats.org/spreadsheetml/2006/main" id="88" name="Table_Default__XLS_TAB_37_189" displayName="Table_Default__XLS_TAB_37_189" ref="B9:J19" tableType="queryTable" headerRowCount="0" totalsRowShown="0" headerRowDxfId="477" dataDxfId="476" tableBorderDxfId="475" headerRowCellStyle="Normal 2" dataCellStyle="Normal 2">
  <tableColumns count="9">
    <tableColumn id="1" uniqueName="1" name="ILLITERATE_CNT" queryTableFieldId="1" headerRowDxfId="474" dataDxfId="473" headerRowCellStyle="Normal 2" dataCellStyle="Normal 2"/>
    <tableColumn id="2" uniqueName="2" name="READ_AND_WRITE_CNT" queryTableFieldId="2" headerRowDxfId="472" dataDxfId="471" headerRowCellStyle="Normal 2" dataCellStyle="Normal 2"/>
    <tableColumn id="3" uniqueName="3" name="PRIMARY_CNT" queryTableFieldId="3" headerRowDxfId="470" dataDxfId="469" headerRowCellStyle="Normal 2" dataCellStyle="Normal 2"/>
    <tableColumn id="4" uniqueName="4" name="PREPARATORY_CNT" queryTableFieldId="4" headerRowDxfId="468" dataDxfId="467" headerRowCellStyle="Normal 2" dataCellStyle="Normal 2"/>
    <tableColumn id="5" uniqueName="5" name="SECONDARY_CNT" queryTableFieldId="5" headerRowDxfId="466" dataDxfId="465" headerRowCellStyle="Normal 2" dataCellStyle="Normal 2"/>
    <tableColumn id="6" uniqueName="6" name="PRE_UNIVERSITY_CNT" queryTableFieldId="6" headerRowDxfId="464" dataDxfId="463" headerRowCellStyle="Normal 2" dataCellStyle="Normal 2"/>
    <tableColumn id="7" uniqueName="7" name="UNIV_ABOVE_CNT" queryTableFieldId="7" headerRowDxfId="462" dataDxfId="461" headerRowCellStyle="Normal 2" dataCellStyle="Normal 2"/>
    <tableColumn id="8" uniqueName="8" name="NOT_STATED_CNT" queryTableFieldId="8" headerRowDxfId="460" dataDxfId="459" headerRowCellStyle="Normal 2" dataCellStyle="Normal 2"/>
    <tableColumn id="9" uniqueName="9" name="TOTAL" queryTableFieldId="9" headerRowDxfId="458" dataDxfId="457" headerRowCellStyle="Normal 2" dataCellStyle="Normal 2"/>
  </tableColumns>
  <tableStyleInfo name="VITAL" showFirstColumn="0" showLastColumn="0" showRowStripes="1" showColumnStripes="0"/>
</table>
</file>

<file path=xl/tables/table66.xml><?xml version="1.0" encoding="utf-8"?>
<table xmlns="http://schemas.openxmlformats.org/spreadsheetml/2006/main" id="89" name="Table_Default__XLS_TAB_37_290" displayName="Table_Default__XLS_TAB_37_290" ref="B9:J19" tableType="queryTable" headerRowCount="0" totalsRowShown="0" headerRowDxfId="456" dataDxfId="455" tableBorderDxfId="454" headerRowCellStyle="Normal 2" dataCellStyle="Normal 2">
  <tableColumns count="9">
    <tableColumn id="1" uniqueName="1" name="ILLITERATE_CNT" queryTableFieldId="1" headerRowDxfId="453" dataDxfId="452" headerRowCellStyle="Normal 2" dataCellStyle="Normal 2"/>
    <tableColumn id="2" uniqueName="2" name="READ_AND_WRITE_CNT" queryTableFieldId="2" headerRowDxfId="451" dataDxfId="450" headerRowCellStyle="Normal 2" dataCellStyle="Normal 2"/>
    <tableColumn id="3" uniqueName="3" name="PRIMARY_CNT" queryTableFieldId="3" headerRowDxfId="449" dataDxfId="448" headerRowCellStyle="Normal 2" dataCellStyle="Normal 2"/>
    <tableColumn id="4" uniqueName="4" name="PREPARATORY_CNT" queryTableFieldId="4" headerRowDxfId="447" dataDxfId="446" headerRowCellStyle="Normal 2" dataCellStyle="Normal 2"/>
    <tableColumn id="5" uniqueName="5" name="SECONDARY_CNT" queryTableFieldId="5" headerRowDxfId="445" dataDxfId="444" headerRowCellStyle="Normal 2" dataCellStyle="Normal 2"/>
    <tableColumn id="6" uniqueName="6" name="PRE_UNIVERSITY_CNT" queryTableFieldId="6" headerRowDxfId="443" dataDxfId="442" headerRowCellStyle="Normal 2" dataCellStyle="Normal 2"/>
    <tableColumn id="7" uniqueName="7" name="UNIV_ABOVE_CNT" queryTableFieldId="7" headerRowDxfId="441" dataDxfId="440" headerRowCellStyle="Normal 2" dataCellStyle="Normal 2"/>
    <tableColumn id="8" uniqueName="8" name="NOT_STATED_CNT" queryTableFieldId="8" headerRowDxfId="439" dataDxfId="438" headerRowCellStyle="Normal 2" dataCellStyle="Normal 2"/>
    <tableColumn id="9" uniqueName="9" name="TOTAL" queryTableFieldId="9" headerRowDxfId="437" dataDxfId="436" headerRowCellStyle="Normal 2" dataCellStyle="Normal 2"/>
  </tableColumns>
  <tableStyleInfo name="VITAL" showFirstColumn="0" showLastColumn="0" showRowStripes="1" showColumnStripes="0"/>
</table>
</file>

<file path=xl/tables/table67.xml><?xml version="1.0" encoding="utf-8"?>
<table xmlns="http://schemas.openxmlformats.org/spreadsheetml/2006/main" id="90" name="Table_Default__XLS_TAB_37_391" displayName="Table_Default__XLS_TAB_37_391" ref="B9:J19" tableType="queryTable" headerRowCount="0" totalsRowShown="0" headerRowDxfId="435" dataDxfId="434" tableBorderDxfId="433" headerRowCellStyle="Normal 2" dataCellStyle="Normal 2">
  <tableColumns count="9">
    <tableColumn id="1" uniqueName="1" name="ILLITERATE_CNT" queryTableFieldId="1" headerRowDxfId="432" dataDxfId="431" headerRowCellStyle="Normal 2" dataCellStyle="Normal 2"/>
    <tableColumn id="2" uniqueName="2" name="READ_AND_WRITE_CNT" queryTableFieldId="2" headerRowDxfId="430" dataDxfId="429" headerRowCellStyle="Normal 2" dataCellStyle="Normal 2"/>
    <tableColumn id="3" uniqueName="3" name="PRIMARY_CNT" queryTableFieldId="3" headerRowDxfId="428" dataDxfId="427" headerRowCellStyle="Normal 2" dataCellStyle="Normal 2"/>
    <tableColumn id="4" uniqueName="4" name="PREPARATORY_CNT" queryTableFieldId="4" headerRowDxfId="426" dataDxfId="425" headerRowCellStyle="Normal 2" dataCellStyle="Normal 2"/>
    <tableColumn id="5" uniqueName="5" name="SECONDARY_CNT" queryTableFieldId="5" headerRowDxfId="424" dataDxfId="423" headerRowCellStyle="Normal 2" dataCellStyle="Normal 2"/>
    <tableColumn id="6" uniqueName="6" name="PRE_UNIVERSITY_CNT" queryTableFieldId="6" headerRowDxfId="422" dataDxfId="421" headerRowCellStyle="Normal 2" dataCellStyle="Normal 2"/>
    <tableColumn id="7" uniqueName="7" name="UNIV_ABOVE_CNT" queryTableFieldId="7" headerRowDxfId="420" dataDxfId="419" headerRowCellStyle="Normal 2" dataCellStyle="Normal 2"/>
    <tableColumn id="8" uniqueName="8" name="NOT_STATED_CNT" queryTableFieldId="8" headerRowDxfId="418" dataDxfId="417" headerRowCellStyle="Normal 2" dataCellStyle="Normal 2"/>
    <tableColumn id="9" uniqueName="9" name="TOTAL" queryTableFieldId="9" headerRowDxfId="416" dataDxfId="415" headerRowCellStyle="Normal 2" dataCellStyle="Normal 2"/>
  </tableColumns>
  <tableStyleInfo name="VITAL" showFirstColumn="0" showLastColumn="0" showRowStripes="1" showColumnStripes="0"/>
</table>
</file>

<file path=xl/tables/table68.xml><?xml version="1.0" encoding="utf-8"?>
<table xmlns="http://schemas.openxmlformats.org/spreadsheetml/2006/main" id="67" name="Table_Default__XLS_TAB_38_1" displayName="Table_Default__XLS_TAB_38_1" ref="A10:O21" tableType="queryTable" headerRowCount="0" totalsRowShown="0" tableBorderDxfId="414">
  <tableColumns count="15">
    <tableColumn id="1" uniqueName="1" name="JOB_ARB" queryTableFieldId="1" headerRowDxfId="413" dataDxfId="412" headerRowCellStyle="Normal 2" dataCellStyle="Normal 2"/>
    <tableColumn id="2" uniqueName="2" name="LEGISLATORS_CNT" queryTableFieldId="2" headerRowDxfId="411" dataDxfId="410" headerRowCellStyle="Normal 2" dataCellStyle="Normal 2"/>
    <tableColumn id="3" uniqueName="3" name="PROFESSIONALS_CNT" queryTableFieldId="3" headerRowDxfId="409" dataDxfId="408" headerRowCellStyle="Normal 2" dataCellStyle="Normal 2"/>
    <tableColumn id="4" uniqueName="4" name="TECHNICIANS_CNT" queryTableFieldId="4" headerRowDxfId="407" dataDxfId="406" headerRowCellStyle="Normal 2" dataCellStyle="Normal 2"/>
    <tableColumn id="5" uniqueName="5" name="CLERKS_CNT" queryTableFieldId="5" headerRowDxfId="405" dataDxfId="404" headerRowCellStyle="Normal 2" dataCellStyle="Normal 2"/>
    <tableColumn id="6" uniqueName="6" name="SERVICE_WORKERS_CNT" queryTableFieldId="6" headerRowDxfId="403" dataDxfId="402" headerRowCellStyle="Normal 2" dataCellStyle="Normal 2"/>
    <tableColumn id="7" uniqueName="7" name="SKILLED_AGRICULTURAL_CNT" queryTableFieldId="7" headerRowDxfId="401" dataDxfId="400" headerRowCellStyle="Normal 2" dataCellStyle="Normal 2"/>
    <tableColumn id="8" uniqueName="8" name="CRAFT_CNT" queryTableFieldId="8" headerRowDxfId="399" dataDxfId="398" headerRowCellStyle="Normal 2" dataCellStyle="Normal 2"/>
    <tableColumn id="9" uniqueName="9" name="PLANT_CNT" queryTableFieldId="9" headerRowDxfId="397" dataDxfId="396" headerRowCellStyle="Normal 2" dataCellStyle="Normal 2"/>
    <tableColumn id="10" uniqueName="10" name="ELEMENTARY_OCCUPATIONS_CNT" queryTableFieldId="10" headerRowDxfId="395" dataDxfId="394" headerRowCellStyle="Normal 2" dataCellStyle="Normal 2"/>
    <tableColumn id="11" uniqueName="11" name="NOT_KNOWN_CNT" queryTableFieldId="11" headerRowDxfId="393" dataDxfId="392" headerRowCellStyle="Normal 2" dataCellStyle="Normal 2"/>
    <tableColumn id="12" uniqueName="12" name="TOTAL" queryTableFieldId="12" headerRowDxfId="391" dataDxfId="390" headerRowCellStyle="Normal 2" dataCellStyle="Normal 2"/>
    <tableColumn id="13" uniqueName="13" name="NO_OCCUP" queryTableFieldId="13" headerRowDxfId="389" dataDxfId="388" headerRowCellStyle="Normal 2" dataCellStyle="Normal 2"/>
    <tableColumn id="14" uniqueName="14" name="GRND_TOTAL" queryTableFieldId="14" headerRowDxfId="387" dataDxfId="386" headerRowCellStyle="Normal 2" dataCellStyle="Normal 2"/>
    <tableColumn id="15" uniqueName="15" name="JOB_ENG" queryTableFieldId="15" headerRowDxfId="385" dataDxfId="384" headerRowCellStyle="Normal 2" dataCellStyle="Normal 2"/>
  </tableColumns>
  <tableStyleInfo name="VITAL" showFirstColumn="0" showLastColumn="0" showRowStripes="1" showColumnStripes="0"/>
</table>
</file>

<file path=xl/tables/table69.xml><?xml version="1.0" encoding="utf-8"?>
<table xmlns="http://schemas.openxmlformats.org/spreadsheetml/2006/main" id="68" name="Table_Default__XLS_TAB_38_2" displayName="Table_Default__XLS_TAB_38_2" ref="A10:O21" tableType="queryTable" headerRowCount="0" totalsRowShown="0" tableBorderDxfId="383">
  <tableColumns count="15">
    <tableColumn id="1" uniqueName="1" name="JOB_ARB" queryTableFieldId="1" headerRowDxfId="382" dataDxfId="381" headerRowCellStyle="Normal 2" dataCellStyle="Normal 2"/>
    <tableColumn id="2" uniqueName="2" name="LEGISLATORS_CNT" queryTableFieldId="2" headerRowDxfId="380" dataDxfId="379" headerRowCellStyle="Normal 2" dataCellStyle="Normal 2"/>
    <tableColumn id="3" uniqueName="3" name="PROFESSIONALS_CNT" queryTableFieldId="3" headerRowDxfId="378" dataDxfId="377" headerRowCellStyle="Normal 2" dataCellStyle="Normal 2"/>
    <tableColumn id="4" uniqueName="4" name="TECHNICIANS_CNT" queryTableFieldId="4" headerRowDxfId="376" dataDxfId="375" headerRowCellStyle="Normal 2" dataCellStyle="Normal 2"/>
    <tableColumn id="5" uniqueName="5" name="CLERKS_CNT" queryTableFieldId="5" headerRowDxfId="374" dataDxfId="373" headerRowCellStyle="Normal 2" dataCellStyle="Normal 2"/>
    <tableColumn id="6" uniqueName="6" name="SERVICE_WORKERS_CNT" queryTableFieldId="6" headerRowDxfId="372" dataDxfId="371" headerRowCellStyle="Normal 2" dataCellStyle="Normal 2"/>
    <tableColumn id="7" uniqueName="7" name="SKILLED_AGRICULTURAL_CNT" queryTableFieldId="7" headerRowDxfId="370" dataDxfId="369" headerRowCellStyle="Normal 2" dataCellStyle="Normal 2"/>
    <tableColumn id="8" uniqueName="8" name="CRAFT_CNT" queryTableFieldId="8" headerRowDxfId="368" dataDxfId="367" headerRowCellStyle="Normal 2" dataCellStyle="Normal 2"/>
    <tableColumn id="9" uniqueName="9" name="PLANT_CNT" queryTableFieldId="9" headerRowDxfId="366" dataDxfId="365" headerRowCellStyle="Normal 2" dataCellStyle="Normal 2"/>
    <tableColumn id="10" uniqueName="10" name="ELEMENTARY_OCCUPATIONS_CNT" queryTableFieldId="10" headerRowDxfId="364" dataDxfId="363" headerRowCellStyle="Normal 2" dataCellStyle="Normal 2"/>
    <tableColumn id="11" uniqueName="11" name="NOT_KNOWN_CNT" queryTableFieldId="11" headerRowDxfId="362" dataDxfId="361" headerRowCellStyle="Normal 2" dataCellStyle="Normal 2"/>
    <tableColumn id="12" uniqueName="12" name="TOTAL" queryTableFieldId="12" headerRowDxfId="360" dataDxfId="359" headerRowCellStyle="Normal 2" dataCellStyle="Normal 2"/>
    <tableColumn id="13" uniqueName="13" name="NO_OCCUP" queryTableFieldId="13" headerRowDxfId="358" dataDxfId="357" headerRowCellStyle="Normal 2" dataCellStyle="Normal 2"/>
    <tableColumn id="14" uniqueName="14" name="GRND_TOTAL" queryTableFieldId="14" headerRowDxfId="356" dataDxfId="355" headerRowCellStyle="Normal 2" dataCellStyle="Normal 2"/>
    <tableColumn id="15" uniqueName="15" name="JOB_ENG" queryTableFieldId="15" headerRowDxfId="354" dataDxfId="353" headerRowCellStyle="Normal 2" dataCellStyle="Normal 2"/>
  </tableColumns>
  <tableStyleInfo name="VITAL" showFirstColumn="0" showLastColumn="0" showRowStripes="1" showColumnStripes="0"/>
</table>
</file>

<file path=xl/tables/table7.xml><?xml version="1.0" encoding="utf-8"?>
<table xmlns="http://schemas.openxmlformats.org/spreadsheetml/2006/main" id="7" name="Table_Default__XLS_TAB_11_1" displayName="Table_Default__XLS_TAB_11_1" ref="A9:N23" tableType="queryTable" headerRowCount="0" totalsRowCount="1" headerRowDxfId="2064" dataDxfId="2063" totalsRowDxfId="2061" tableBorderDxfId="2062" totalsRowBorderDxfId="2060">
  <tableColumns count="14">
    <tableColumn id="1" uniqueName="1" name="AGE_LEVEL_HUSBD_ARB" totalsRowLabel="المجموع" queryTableFieldId="1" headerRowDxfId="2059" dataDxfId="2058" totalsRowDxfId="2057" headerRowCellStyle="Normal 2" dataCellStyle="Normal 2"/>
    <tableColumn id="2" uniqueName="2" name="AGE_LEVEL_LESS_20" totalsRowFunction="sum" queryTableFieldId="2" headerRowDxfId="2056" dataDxfId="2055" totalsRowDxfId="2054" headerRowCellStyle="Normal 2" dataCellStyle="Normal 2"/>
    <tableColumn id="3" uniqueName="3" name="AGE_LEVEL_20_24" totalsRowFunction="sum" queryTableFieldId="3" headerRowDxfId="2053" dataDxfId="2052" totalsRowDxfId="2051" headerRowCellStyle="Normal 2" dataCellStyle="Normal 2"/>
    <tableColumn id="4" uniqueName="4" name="AGE_LEVEL_25_29" totalsRowFunction="sum" queryTableFieldId="4" headerRowDxfId="2050" dataDxfId="2049" totalsRowDxfId="2048" headerRowCellStyle="Normal 2" dataCellStyle="Normal 2"/>
    <tableColumn id="5" uniqueName="5" name="AGE_LEVEL_30_34" totalsRowFunction="sum" queryTableFieldId="5" headerRowDxfId="2047" dataDxfId="2046" totalsRowDxfId="2045" headerRowCellStyle="Normal 2" dataCellStyle="Normal 2"/>
    <tableColumn id="6" uniqueName="6" name="AGE_LEVEL_35_39" totalsRowFunction="sum" queryTableFieldId="6" headerRowDxfId="2044" dataDxfId="2043" totalsRowDxfId="2042" headerRowCellStyle="Normal 2" dataCellStyle="Normal 2"/>
    <tableColumn id="7" uniqueName="7" name="AGE_LEVEL_40_44" totalsRowFunction="sum" queryTableFieldId="7" headerRowDxfId="2041" dataDxfId="2040" totalsRowDxfId="2039" headerRowCellStyle="Normal 2" dataCellStyle="Normal 2"/>
    <tableColumn id="8" uniqueName="8" name="AGE_LEVEL_45_49" totalsRowFunction="sum" queryTableFieldId="8" headerRowDxfId="2038" dataDxfId="2037" totalsRowDxfId="2036" headerRowCellStyle="Normal 2" dataCellStyle="Normal 2"/>
    <tableColumn id="9" uniqueName="9" name="AGE_LEVEL_50_54" totalsRowFunction="sum" queryTableFieldId="9" headerRowDxfId="2035" dataDxfId="2034" totalsRowDxfId="2033" headerRowCellStyle="Normal 2" dataCellStyle="Normal 2"/>
    <tableColumn id="10" uniqueName="10" name="AGE_LEVEL_55_59" totalsRowFunction="sum" queryTableFieldId="10" headerRowDxfId="2032" dataDxfId="2031" totalsRowDxfId="2030" headerRowCellStyle="Normal 2" dataCellStyle="Normal 2"/>
    <tableColumn id="11" uniqueName="11" name="AGE_LEVEL_UP_60" totalsRowFunction="sum" queryTableFieldId="11" headerRowDxfId="2029" dataDxfId="2028" totalsRowDxfId="2027" headerRowCellStyle="Normal 2" dataCellStyle="Normal 2"/>
    <tableColumn id="12" uniqueName="12" name="AGE_LEVEL_NOT_STATED" totalsRowFunction="sum" queryTableFieldId="12" headerRowDxfId="2026" dataDxfId="2025" totalsRowDxfId="2024" headerRowCellStyle="Normal 2" dataCellStyle="Normal 2"/>
    <tableColumn id="13" uniqueName="13" name="TOTAL" totalsRowFunction="sum" queryTableFieldId="13" headerRowDxfId="2023" dataDxfId="2022" totalsRowDxfId="2021" headerRowCellStyle="Normal 2" dataCellStyle="Normal 2"/>
    <tableColumn id="14" uniqueName="14" name="AGE_LEVEL_HUSBD_ENG" totalsRowLabel="Total" queryTableFieldId="14" headerRowDxfId="2020" dataDxfId="2019" totalsRowDxfId="2018" headerRowCellStyle="Normal 2" dataCellStyle="Normal 2"/>
  </tableColumns>
  <tableStyleInfo name="VITAL" showFirstColumn="0" showLastColumn="0" showRowStripes="1" showColumnStripes="0"/>
</table>
</file>

<file path=xl/tables/table70.xml><?xml version="1.0" encoding="utf-8"?>
<table xmlns="http://schemas.openxmlformats.org/spreadsheetml/2006/main" id="69" name="Table_Default__XLS_TAB_38_3" displayName="Table_Default__XLS_TAB_38_3" ref="A10:O21" tableType="queryTable" headerRowCount="0" totalsRowShown="0" tableBorderDxfId="352">
  <tableColumns count="15">
    <tableColumn id="1" uniqueName="1" name="JOB_ARB" queryTableFieldId="1" headerRowDxfId="351" dataDxfId="350" headerRowCellStyle="Normal 2" dataCellStyle="Normal 2"/>
    <tableColumn id="2" uniqueName="2" name="LEGISLATORS_CNT" queryTableFieldId="2" headerRowDxfId="349" dataDxfId="348" headerRowCellStyle="Normal 2" dataCellStyle="Normal 2"/>
    <tableColumn id="3" uniqueName="3" name="PROFESSIONALS_CNT" queryTableFieldId="3" headerRowDxfId="347" dataDxfId="346" headerRowCellStyle="Normal 2" dataCellStyle="Normal 2"/>
    <tableColumn id="4" uniqueName="4" name="TECHNICIANS_CNT" queryTableFieldId="4" headerRowDxfId="345" dataDxfId="344" headerRowCellStyle="Normal 2" dataCellStyle="Normal 2"/>
    <tableColumn id="5" uniqueName="5" name="CLERKS_CNT" queryTableFieldId="5" headerRowDxfId="343" dataDxfId="342" headerRowCellStyle="Normal 2" dataCellStyle="Normal 2"/>
    <tableColumn id="6" uniqueName="6" name="SERVICE_WORKERS_CNT" queryTableFieldId="6" headerRowDxfId="341" dataDxfId="340" headerRowCellStyle="Normal 2" dataCellStyle="Normal 2"/>
    <tableColumn id="7" uniqueName="7" name="SKILLED_AGRICULTURAL_CNT" queryTableFieldId="7" headerRowDxfId="339" dataDxfId="338" headerRowCellStyle="Normal 2" dataCellStyle="Normal 2"/>
    <tableColumn id="8" uniqueName="8" name="CRAFT_CNT" queryTableFieldId="8" headerRowDxfId="337" dataDxfId="336" headerRowCellStyle="Normal 2" dataCellStyle="Normal 2"/>
    <tableColumn id="9" uniqueName="9" name="PLANT_CNT" queryTableFieldId="9" headerRowDxfId="335" dataDxfId="334" headerRowCellStyle="Normal 2" dataCellStyle="Normal 2"/>
    <tableColumn id="10" uniqueName="10" name="ELEMENTARY_OCCUPATIONS_CNT" queryTableFieldId="10" headerRowDxfId="333" dataDxfId="332" headerRowCellStyle="Normal 2" dataCellStyle="Normal 2"/>
    <tableColumn id="11" uniqueName="11" name="NOT_KNOWN_CNT" queryTableFieldId="11" headerRowDxfId="331" dataDxfId="330" headerRowCellStyle="Normal 2" dataCellStyle="Normal 2"/>
    <tableColumn id="12" uniqueName="12" name="TOTAL" queryTableFieldId="12" headerRowDxfId="329" dataDxfId="328" headerRowCellStyle="Normal 2" dataCellStyle="Normal 2"/>
    <tableColumn id="13" uniqueName="13" name="NO_OCCUP" queryTableFieldId="13" headerRowDxfId="327" dataDxfId="326" headerRowCellStyle="Normal 2" dataCellStyle="Normal 2"/>
    <tableColumn id="14" uniqueName="14" name="GRND_TOTAL" queryTableFieldId="14" headerRowDxfId="325" dataDxfId="324" headerRowCellStyle="Normal 2" dataCellStyle="Normal 2"/>
    <tableColumn id="15" uniqueName="15" name="JOB_ENG" queryTableFieldId="15" headerRowDxfId="323" dataDxfId="322" headerRowCellStyle="Normal 2" dataCellStyle="Normal 2"/>
  </tableColumns>
  <tableStyleInfo name="VITAL" showFirstColumn="0" showLastColumn="0" showRowStripes="1" showColumnStripes="0"/>
</table>
</file>

<file path=xl/tables/table71.xml><?xml version="1.0" encoding="utf-8"?>
<table xmlns="http://schemas.openxmlformats.org/spreadsheetml/2006/main" id="71" name="Table_Default__XLS_TAB_39_1" displayName="Table_Default__XLS_TAB_39_1" ref="I9:V22" tableType="queryTable" headerRowCount="0" totalsRowShown="0" dataDxfId="321" tableBorderDxfId="320" dataCellStyle="Normal 2">
  <tableColumns count="14">
    <tableColumn id="1" uniqueName="1" name="AGE_LEVEL_HUSBD_ARB" queryTableFieldId="1" headerRowDxfId="319" dataDxfId="318" headerRowCellStyle="Normal 2" dataCellStyle="Normal 2"/>
    <tableColumn id="2" uniqueName="2" name="AGE_LEVEL_LESS_20" queryTableFieldId="2" headerRowDxfId="317" dataDxfId="316" headerRowCellStyle="Normal 2" dataCellStyle="Normal 2"/>
    <tableColumn id="3" uniqueName="3" name="AGE_LEVEL_20_24" queryTableFieldId="3" headerRowDxfId="315" dataDxfId="314" headerRowCellStyle="Normal 2" dataCellStyle="Normal 2"/>
    <tableColumn id="4" uniqueName="4" name="AGE_LEVEL_25_29" queryTableFieldId="4" headerRowDxfId="313" dataDxfId="312" headerRowCellStyle="Normal 2" dataCellStyle="Normal 2"/>
    <tableColumn id="5" uniqueName="5" name="AGE_LEVEL_30_34" queryTableFieldId="5" headerRowDxfId="311" dataDxfId="310" headerRowCellStyle="Normal 2" dataCellStyle="Normal 2"/>
    <tableColumn id="6" uniqueName="6" name="AGE_LEVEL_35_39" queryTableFieldId="6" headerRowDxfId="309" dataDxfId="308" headerRowCellStyle="Normal 2" dataCellStyle="Normal 2"/>
    <tableColumn id="7" uniqueName="7" name="AGE_LEVEL_40_44" queryTableFieldId="7" headerRowDxfId="307" dataDxfId="306" headerRowCellStyle="Normal 2" dataCellStyle="Normal 2"/>
    <tableColumn id="8" uniqueName="8" name="AGE_LEVEL_45_49" queryTableFieldId="8" headerRowDxfId="305" dataDxfId="304" headerRowCellStyle="Normal 2" dataCellStyle="Normal 2"/>
    <tableColumn id="9" uniqueName="9" name="AGE_LEVEL_50_54" queryTableFieldId="9" headerRowDxfId="303" dataDxfId="302" headerRowCellStyle="Normal 2" dataCellStyle="Normal 2"/>
    <tableColumn id="10" uniqueName="10" name="AGE_LEVEL_55_59" queryTableFieldId="10" headerRowDxfId="301" dataDxfId="300" headerRowCellStyle="Normal 2" dataCellStyle="Normal 2"/>
    <tableColumn id="11" uniqueName="11" name="AGE_LEVEL_UP_60" queryTableFieldId="11" headerRowDxfId="299" dataDxfId="298" headerRowCellStyle="Normal 2" dataCellStyle="Normal 2"/>
    <tableColumn id="12" uniqueName="12" name="AGE_LEVEL_NOT_STATED" queryTableFieldId="12" headerRowDxfId="297" dataDxfId="296" headerRowCellStyle="Normal 2" dataCellStyle="Normal 2"/>
    <tableColumn id="13" uniqueName="13" name="TOTAL" queryTableFieldId="13" headerRowDxfId="295" dataDxfId="294" headerRowCellStyle="Normal 2" dataCellStyle="Normal 2">
      <calculatedColumnFormula>SUM(Table_Default__XLS_TAB_39_1[[#This Row],[AGE_LEVEL_LESS_20]:[AGE_LEVEL_NOT_STATED]])</calculatedColumnFormula>
    </tableColumn>
    <tableColumn id="14" uniqueName="14" name="AGE_LEVEL_HUSBD_ENG" queryTableFieldId="14" headerRowDxfId="293" dataDxfId="292" headerRowCellStyle="Normal 2" dataCellStyle="Normal 2"/>
  </tableColumns>
  <tableStyleInfo name="VITAL" showFirstColumn="0" showLastColumn="0" showRowStripes="1" showColumnStripes="0"/>
</table>
</file>

<file path=xl/tables/table72.xml><?xml version="1.0" encoding="utf-8"?>
<table xmlns="http://schemas.openxmlformats.org/spreadsheetml/2006/main" id="72" name="Table_Default__XLS_TAB_39_2" displayName="Table_Default__XLS_TAB_39_2" ref="A9:N22" tableType="queryTable" headerRowCount="0" totalsRowShown="0" dataDxfId="291" tableBorderDxfId="290" dataCellStyle="Normal 2">
  <tableColumns count="14">
    <tableColumn id="1" uniqueName="1" name="AGE_LEVEL_HUSBD_ARB" queryTableFieldId="1" headerRowDxfId="289" dataDxfId="288" headerRowCellStyle="Normal 2" dataCellStyle="Normal 2"/>
    <tableColumn id="2" uniqueName="2" name="AGE_LEVEL_LESS_20" queryTableFieldId="2" headerRowDxfId="287" dataDxfId="286" headerRowCellStyle="Normal 2" dataCellStyle="Normal 2"/>
    <tableColumn id="3" uniqueName="3" name="AGE_LEVEL_20_24" queryTableFieldId="3" headerRowDxfId="285" dataDxfId="284" headerRowCellStyle="Normal 2" dataCellStyle="Normal 2"/>
    <tableColumn id="4" uniqueName="4" name="AGE_LEVEL_25_29" queryTableFieldId="4" headerRowDxfId="283" dataDxfId="282" headerRowCellStyle="Normal 2" dataCellStyle="Normal 2"/>
    <tableColumn id="5" uniqueName="5" name="AGE_LEVEL_30_34" queryTableFieldId="5" headerRowDxfId="281" dataDxfId="280" headerRowCellStyle="Normal 2" dataCellStyle="Normal 2"/>
    <tableColumn id="6" uniqueName="6" name="AGE_LEVEL_35_39" queryTableFieldId="6" headerRowDxfId="279" dataDxfId="278" headerRowCellStyle="Normal 2" dataCellStyle="Normal 2"/>
    <tableColumn id="7" uniqueName="7" name="AGE_LEVEL_40_44" queryTableFieldId="7" headerRowDxfId="277" dataDxfId="276" headerRowCellStyle="Normal 2" dataCellStyle="Normal 2"/>
    <tableColumn id="8" uniqueName="8" name="AGE_LEVEL_45_49" queryTableFieldId="8" headerRowDxfId="275" dataDxfId="274" headerRowCellStyle="Normal 2" dataCellStyle="Normal 2"/>
    <tableColumn id="9" uniqueName="9" name="AGE_LEVEL_50_54" queryTableFieldId="9" headerRowDxfId="273" dataDxfId="272" headerRowCellStyle="Normal 2" dataCellStyle="Normal 2"/>
    <tableColumn id="10" uniqueName="10" name="AGE_LEVEL_55_59" queryTableFieldId="10" headerRowDxfId="271" dataDxfId="270" headerRowCellStyle="Normal 2" dataCellStyle="Normal 2"/>
    <tableColumn id="11" uniqueName="11" name="AGE_LEVEL_UP_60" queryTableFieldId="11" headerRowDxfId="269" dataDxfId="268" headerRowCellStyle="Normal 2" dataCellStyle="Normal 2"/>
    <tableColumn id="12" uniqueName="12" name="AGE_LEVEL_NOT_STATED" queryTableFieldId="12" headerRowDxfId="267" dataDxfId="266" headerRowCellStyle="Normal 2" dataCellStyle="Normal 2"/>
    <tableColumn id="13" uniqueName="13" name="TOTAL" queryTableFieldId="13" headerRowDxfId="265" dataDxfId="264" headerRowCellStyle="Normal 2" dataCellStyle="Normal 2">
      <calculatedColumnFormula>SUM(Table_Default__XLS_TAB_39_2[[#This Row],[AGE_LEVEL_LESS_20]:[AGE_LEVEL_NOT_STATED]])</calculatedColumnFormula>
    </tableColumn>
    <tableColumn id="14" uniqueName="14" name="AGE_LEVEL_HUSBD_ENG" queryTableFieldId="14" headerRowDxfId="263" dataDxfId="262" headerRowCellStyle="Normal 2" dataCellStyle="Normal 2"/>
  </tableColumns>
  <tableStyleInfo name="VITAL" showFirstColumn="0" showLastColumn="0" showRowStripes="1" showColumnStripes="0"/>
</table>
</file>

<file path=xl/tables/table73.xml><?xml version="1.0" encoding="utf-8"?>
<table xmlns="http://schemas.openxmlformats.org/spreadsheetml/2006/main" id="73" name="Table_Default__XLS_TAB_39_3" displayName="Table_Default__XLS_TAB_39_3" ref="A9:N22" tableType="queryTable" headerRowCount="0" totalsRowShown="0" dataDxfId="261" tableBorderDxfId="260" dataCellStyle="Normal 2">
  <tableColumns count="14">
    <tableColumn id="1" uniqueName="1" name="AGE_LEVEL_HUSBD_ARB" queryTableFieldId="1" headerRowDxfId="259" dataDxfId="258" headerRowCellStyle="Normal 2" dataCellStyle="Normal 2"/>
    <tableColumn id="2" uniqueName="2" name="AGE_LEVEL_LESS_20" queryTableFieldId="2" headerRowDxfId="257" dataDxfId="256" headerRowCellStyle="Normal 2" dataCellStyle="Normal 2"/>
    <tableColumn id="3" uniqueName="3" name="AGE_LEVEL_20_24" queryTableFieldId="3" headerRowDxfId="255" dataDxfId="254" headerRowCellStyle="Normal 2" dataCellStyle="Normal 2"/>
    <tableColumn id="4" uniqueName="4" name="AGE_LEVEL_25_29" queryTableFieldId="4" headerRowDxfId="253" dataDxfId="252" headerRowCellStyle="Normal 2" dataCellStyle="Normal 2"/>
    <tableColumn id="5" uniqueName="5" name="AGE_LEVEL_30_34" queryTableFieldId="5" headerRowDxfId="251" dataDxfId="250" headerRowCellStyle="Normal 2" dataCellStyle="Normal 2"/>
    <tableColumn id="6" uniqueName="6" name="AGE_LEVEL_35_39" queryTableFieldId="6" headerRowDxfId="249" dataDxfId="248" headerRowCellStyle="Normal 2" dataCellStyle="Normal 2"/>
    <tableColumn id="7" uniqueName="7" name="AGE_LEVEL_40_44" queryTableFieldId="7" headerRowDxfId="247" dataDxfId="246" headerRowCellStyle="Normal 2" dataCellStyle="Normal 2"/>
    <tableColumn id="8" uniqueName="8" name="AGE_LEVEL_45_49" queryTableFieldId="8" headerRowDxfId="245" dataDxfId="244" headerRowCellStyle="Normal 2" dataCellStyle="Normal 2"/>
    <tableColumn id="9" uniqueName="9" name="AGE_LEVEL_50_54" queryTableFieldId="9" headerRowDxfId="243" dataDxfId="242" headerRowCellStyle="Normal 2" dataCellStyle="Normal 2"/>
    <tableColumn id="10" uniqueName="10" name="AGE_LEVEL_55_59" queryTableFieldId="10" headerRowDxfId="241" dataDxfId="240" headerRowCellStyle="Normal 2" dataCellStyle="Normal 2"/>
    <tableColumn id="11" uniqueName="11" name="AGE_LEVEL_UP_60" queryTableFieldId="11" headerRowDxfId="239" dataDxfId="238" headerRowCellStyle="Normal 2" dataCellStyle="Normal 2"/>
    <tableColumn id="12" uniqueName="12" name="AGE_LEVEL_NOT_STATED" queryTableFieldId="12" headerRowDxfId="237" dataDxfId="236" headerRowCellStyle="Normal 2" dataCellStyle="Normal 2"/>
    <tableColumn id="13" uniqueName="13" name="TOTAL" queryTableFieldId="13" headerRowDxfId="235" dataDxfId="234" headerRowCellStyle="Normal 2" dataCellStyle="Normal 2">
      <calculatedColumnFormula>SUM(Table_Default__XLS_TAB_39_3[[#This Row],[AGE_LEVEL_LESS_20]:[AGE_LEVEL_NOT_STATED]])</calculatedColumnFormula>
    </tableColumn>
    <tableColumn id="14" uniqueName="14" name="AGE_LEVEL_HUSBD_ENG" queryTableFieldId="14" headerRowDxfId="233" dataDxfId="232" headerRowCellStyle="Normal 2" dataCellStyle="Normal 2"/>
  </tableColumns>
  <tableStyleInfo name="VITAL" showFirstColumn="0" showLastColumn="0" showRowStripes="1" showColumnStripes="0"/>
</table>
</file>

<file path=xl/tables/table74.xml><?xml version="1.0" encoding="utf-8"?>
<table xmlns="http://schemas.openxmlformats.org/spreadsheetml/2006/main" id="91" name="Table_Default__XLS_TAB_40_192" displayName="Table_Default__XLS_TAB_40_192" ref="B9:M22" tableType="queryTable" headerRowCount="0" totalsRowShown="0" headerRowDxfId="231" dataDxfId="230">
  <tableColumns count="12">
    <tableColumn id="1" uniqueName="1" name="AGE_LEVEL_LESS_20" queryTableFieldId="1" headerRowDxfId="229" dataDxfId="228" headerRowCellStyle="Normal 2" dataCellStyle="Normal 2"/>
    <tableColumn id="2" uniqueName="2" name="AGE_LEVEL_20_24" queryTableFieldId="2" headerRowDxfId="227" dataDxfId="226" headerRowCellStyle="Normal 2" dataCellStyle="Normal 2"/>
    <tableColumn id="3" uniqueName="3" name="AGE_LEVEL_25_29" queryTableFieldId="3" headerRowDxfId="225" dataDxfId="224" headerRowCellStyle="Normal 2" dataCellStyle="Normal 2"/>
    <tableColumn id="4" uniqueName="4" name="AGE_LEVEL_30_34" queryTableFieldId="4" headerRowDxfId="223" dataDxfId="222" headerRowCellStyle="Normal 2" dataCellStyle="Normal 2"/>
    <tableColumn id="5" uniqueName="5" name="AGE_LEVEL_35_39" queryTableFieldId="5" headerRowDxfId="221" dataDxfId="220" headerRowCellStyle="Normal 2" dataCellStyle="Normal 2"/>
    <tableColumn id="6" uniqueName="6" name="AGE_LEVEL_40_44" queryTableFieldId="6" headerRowDxfId="219" dataDxfId="218" headerRowCellStyle="Normal 2" dataCellStyle="Normal 2"/>
    <tableColumn id="7" uniqueName="7" name="AGE_LEVEL_45_49" queryTableFieldId="7" headerRowDxfId="217" dataDxfId="216" headerRowCellStyle="Normal 2" dataCellStyle="Normal 2"/>
    <tableColumn id="8" uniqueName="8" name="AGE_LEVEL_50_54" queryTableFieldId="8" headerRowDxfId="215" dataDxfId="214" headerRowCellStyle="Normal 2" dataCellStyle="Normal 2"/>
    <tableColumn id="9" uniqueName="9" name="AGE_LEVEL_55_59" queryTableFieldId="9" headerRowDxfId="213" dataDxfId="212" headerRowCellStyle="Normal 2" dataCellStyle="Normal 2"/>
    <tableColumn id="10" uniqueName="10" name="AGE_LEVEL_UP_60" queryTableFieldId="10" headerRowDxfId="211" dataDxfId="210" headerRowCellStyle="Normal 2" dataCellStyle="Normal 2"/>
    <tableColumn id="11" uniqueName="11" name="AGE_LEVEL_NOT_STATED" queryTableFieldId="11" headerRowDxfId="209" dataDxfId="208" headerRowCellStyle="Normal 2" dataCellStyle="Normal 2"/>
    <tableColumn id="12" uniqueName="12" name="TOTAL" queryTableFieldId="12" headerRowDxfId="207" dataDxfId="206" headerRowCellStyle="Normal 2" dataCellStyle="Normal 2"/>
  </tableColumns>
  <tableStyleInfo name="VITAL" showFirstColumn="0" showLastColumn="0" showRowStripes="1" showColumnStripes="0"/>
</table>
</file>

<file path=xl/tables/table75.xml><?xml version="1.0" encoding="utf-8"?>
<table xmlns="http://schemas.openxmlformats.org/spreadsheetml/2006/main" id="92" name="Table_Default__XLS_TAB_40_293" displayName="Table_Default__XLS_TAB_40_293" ref="B9:M22" tableType="queryTable" headerRowCount="0" totalsRowShown="0" headerRowDxfId="205" dataDxfId="204" tableBorderDxfId="203" headerRowCellStyle="Normal 2" dataCellStyle="Normal 2">
  <tableColumns count="12">
    <tableColumn id="1" uniqueName="1" name="AGE_LEVEL_LESS_20" queryTableFieldId="1" headerRowDxfId="202" dataDxfId="201" headerRowCellStyle="Normal 2" dataCellStyle="Normal 2"/>
    <tableColumn id="2" uniqueName="2" name="AGE_LEVEL_20_24" queryTableFieldId="2" headerRowDxfId="200" dataDxfId="199" headerRowCellStyle="Normal 2" dataCellStyle="Normal 2"/>
    <tableColumn id="3" uniqueName="3" name="AGE_LEVEL_25_29" queryTableFieldId="3" headerRowDxfId="198" dataDxfId="197" headerRowCellStyle="Normal 2" dataCellStyle="Normal 2"/>
    <tableColumn id="4" uniqueName="4" name="AGE_LEVEL_30_34" queryTableFieldId="4" headerRowDxfId="196" dataDxfId="195" headerRowCellStyle="Normal 2" dataCellStyle="Normal 2"/>
    <tableColumn id="5" uniqueName="5" name="AGE_LEVEL_35_39" queryTableFieldId="5" headerRowDxfId="194" dataDxfId="193" headerRowCellStyle="Normal 2" dataCellStyle="Normal 2"/>
    <tableColumn id="6" uniqueName="6" name="AGE_LEVEL_40_44" queryTableFieldId="6" headerRowDxfId="192" dataDxfId="191" headerRowCellStyle="Normal 2" dataCellStyle="Normal 2"/>
    <tableColumn id="7" uniqueName="7" name="AGE_LEVEL_45_49" queryTableFieldId="7" headerRowDxfId="190" dataDxfId="189" headerRowCellStyle="Normal 2" dataCellStyle="Normal 2"/>
    <tableColumn id="8" uniqueName="8" name="AGE_LEVEL_50_54" queryTableFieldId="8" headerRowDxfId="188" dataDxfId="187" headerRowCellStyle="Normal 2" dataCellStyle="Normal 2"/>
    <tableColumn id="9" uniqueName="9" name="AGE_LEVEL_55_59" queryTableFieldId="9" headerRowDxfId="186" dataDxfId="185" headerRowCellStyle="Normal 2" dataCellStyle="Normal 2"/>
    <tableColumn id="10" uniqueName="10" name="AGE_LEVEL_UP_60" queryTableFieldId="10" headerRowDxfId="184" dataDxfId="183" headerRowCellStyle="Normal 2" dataCellStyle="Normal 2"/>
    <tableColumn id="11" uniqueName="11" name="AGE_LEVEL_NOT_STATED" queryTableFieldId="11" headerRowDxfId="182" dataDxfId="181" headerRowCellStyle="Normal 2" dataCellStyle="Normal 2"/>
    <tableColumn id="12" uniqueName="12" name="TOTAL" queryTableFieldId="12" headerRowDxfId="180" dataDxfId="179" headerRowCellStyle="Normal 2" dataCellStyle="Normal 2"/>
  </tableColumns>
  <tableStyleInfo name="VITAL" showFirstColumn="0" showLastColumn="0" showRowStripes="1" showColumnStripes="0"/>
</table>
</file>

<file path=xl/tables/table76.xml><?xml version="1.0" encoding="utf-8"?>
<table xmlns="http://schemas.openxmlformats.org/spreadsheetml/2006/main" id="93" name="Table_Default__XLS_TAB_40_394" displayName="Table_Default__XLS_TAB_40_394" ref="B9:M22" tableType="queryTable" headerRowCount="0" totalsRowShown="0" headerRowDxfId="178" dataDxfId="177" tableBorderDxfId="176" dataCellStyle="Normal 2">
  <tableColumns count="12">
    <tableColumn id="1" uniqueName="1" name="AGE_LEVEL_LESS_20" queryTableFieldId="1" headerRowDxfId="175" dataDxfId="174" headerRowCellStyle="Normal 2" dataCellStyle="Normal 2"/>
    <tableColumn id="2" uniqueName="2" name="AGE_LEVEL_20_24" queryTableFieldId="2" headerRowDxfId="173" dataDxfId="172" headerRowCellStyle="Normal 2" dataCellStyle="Normal 2"/>
    <tableColumn id="3" uniqueName="3" name="AGE_LEVEL_25_29" queryTableFieldId="3" headerRowDxfId="171" dataDxfId="170" headerRowCellStyle="Normal 2" dataCellStyle="Normal 2"/>
    <tableColumn id="4" uniqueName="4" name="AGE_LEVEL_30_34" queryTableFieldId="4" headerRowDxfId="169" dataDxfId="168" headerRowCellStyle="Normal 2" dataCellStyle="Normal 2"/>
    <tableColumn id="5" uniqueName="5" name="AGE_LEVEL_35_39" queryTableFieldId="5" headerRowDxfId="167" dataDxfId="166" headerRowCellStyle="Normal 2" dataCellStyle="Normal 2"/>
    <tableColumn id="6" uniqueName="6" name="AGE_LEVEL_40_44" queryTableFieldId="6" headerRowDxfId="165" dataDxfId="164" headerRowCellStyle="Normal 2" dataCellStyle="Normal 2"/>
    <tableColumn id="7" uniqueName="7" name="AGE_LEVEL_45_49" queryTableFieldId="7" headerRowDxfId="163" dataDxfId="162" headerRowCellStyle="Normal 2" dataCellStyle="Normal 2"/>
    <tableColumn id="8" uniqueName="8" name="AGE_LEVEL_50_54" queryTableFieldId="8" headerRowDxfId="161" dataDxfId="160" headerRowCellStyle="Normal 2" dataCellStyle="Normal 2"/>
    <tableColumn id="9" uniqueName="9" name="AGE_LEVEL_55_59" queryTableFieldId="9" headerRowDxfId="159" dataDxfId="158" headerRowCellStyle="Normal 2" dataCellStyle="Normal 2"/>
    <tableColumn id="10" uniqueName="10" name="AGE_LEVEL_UP_60" queryTableFieldId="10" headerRowDxfId="157" dataDxfId="156" headerRowCellStyle="Normal 2" dataCellStyle="Normal 2"/>
    <tableColumn id="11" uniqueName="11" name="AGE_LEVEL_NOT_STATED" queryTableFieldId="11" headerRowDxfId="155" dataDxfId="154" headerRowCellStyle="Normal 2" dataCellStyle="Normal 2"/>
    <tableColumn id="12" uniqueName="12" name="TOTAL" queryTableFieldId="12" headerRowDxfId="153" dataDxfId="152" headerRowCellStyle="Normal 2" dataCellStyle="Normal 2"/>
  </tableColumns>
  <tableStyleInfo name="VITAL" showFirstColumn="0" showLastColumn="0" showRowStripes="1" showColumnStripes="0"/>
</table>
</file>

<file path=xl/tables/table77.xml><?xml version="1.0" encoding="utf-8"?>
<table xmlns="http://schemas.openxmlformats.org/spreadsheetml/2006/main" id="33" name="Table_Default__XLS_TAB_41_134" displayName="Table_Default__XLS_TAB_41_134" ref="B9:J19" tableType="queryTable" headerRowCount="0" totalsRowShown="0" headerRowDxfId="151" dataDxfId="150" tableBorderDxfId="149" headerRowCellStyle="Normal 2" dataCellStyle="Normal 2">
  <tableColumns count="9">
    <tableColumn id="1" uniqueName="1" name="SON_CNT_0" queryTableFieldId="1" headerRowDxfId="148" dataDxfId="147" headerRowCellStyle="Normal 2" dataCellStyle="Normal 2"/>
    <tableColumn id="2" uniqueName="2" name="SON_CNT_1" queryTableFieldId="2" headerRowDxfId="146" dataDxfId="145" headerRowCellStyle="Normal 2" dataCellStyle="Normal 2"/>
    <tableColumn id="3" uniqueName="3" name="SON_CNT_2" queryTableFieldId="3" headerRowDxfId="144" dataDxfId="143" headerRowCellStyle="Normal 2" dataCellStyle="Normal 2"/>
    <tableColumn id="4" uniqueName="4" name="SON_CNT_3" queryTableFieldId="4" headerRowDxfId="142" dataDxfId="141" headerRowCellStyle="Normal 2" dataCellStyle="Normal 2"/>
    <tableColumn id="5" uniqueName="5" name="SON_CNT_4" queryTableFieldId="5" headerRowDxfId="140" dataDxfId="139" headerRowCellStyle="Normal 2" dataCellStyle="Normal 2"/>
    <tableColumn id="6" uniqueName="6" name="SON_CNT_5" queryTableFieldId="6" headerRowDxfId="138" dataDxfId="137" headerRowCellStyle="Normal 2" dataCellStyle="Normal 2"/>
    <tableColumn id="7" uniqueName="7" name="SON_CNT_UP_6" queryTableFieldId="7" headerRowDxfId="136" dataDxfId="135" headerRowCellStyle="Normal 2" dataCellStyle="Normal 2"/>
    <tableColumn id="8" uniqueName="8" name="SON_CNT_NOT_STATED" queryTableFieldId="8" headerRowDxfId="134" dataDxfId="133" headerRowCellStyle="Normal 2" dataCellStyle="Normal 2"/>
    <tableColumn id="9" uniqueName="9" name="TOTAL" queryTableFieldId="9" headerRowDxfId="132" dataDxfId="131" headerRowCellStyle="Normal 2" dataCellStyle="Normal 2"/>
  </tableColumns>
  <tableStyleInfo name="VITAL" showFirstColumn="0" showLastColumn="0" showRowStripes="1" showColumnStripes="0"/>
</table>
</file>

<file path=xl/tables/table78.xml><?xml version="1.0" encoding="utf-8"?>
<table xmlns="http://schemas.openxmlformats.org/spreadsheetml/2006/main" id="51" name="Table_Default__XLS_TAB_41_252" displayName="Table_Default__XLS_TAB_41_252" ref="B9:J19" tableType="queryTable" headerRowCount="0" totalsRowShown="0" headerRowDxfId="130" dataDxfId="129" tableBorderDxfId="128" headerRowCellStyle="Normal 2" dataCellStyle="Normal 2">
  <tableColumns count="9">
    <tableColumn id="1" uniqueName="1" name="SON_CNT_0" queryTableFieldId="1" headerRowDxfId="127" dataDxfId="126" headerRowCellStyle="Normal 2" dataCellStyle="Normal 2"/>
    <tableColumn id="2" uniqueName="2" name="SON_CNT_1" queryTableFieldId="2" headerRowDxfId="125" dataDxfId="124" headerRowCellStyle="Normal 2" dataCellStyle="Normal 2"/>
    <tableColumn id="3" uniqueName="3" name="SON_CNT_2" queryTableFieldId="3" headerRowDxfId="123" dataDxfId="122" headerRowCellStyle="Normal 2" dataCellStyle="Normal 2"/>
    <tableColumn id="4" uniqueName="4" name="SON_CNT_3" queryTableFieldId="4" headerRowDxfId="121" dataDxfId="120" headerRowCellStyle="Normal 2" dataCellStyle="Normal 2"/>
    <tableColumn id="5" uniqueName="5" name="SON_CNT_4" queryTableFieldId="5" headerRowDxfId="119" dataDxfId="118" headerRowCellStyle="Normal 2" dataCellStyle="Normal 2"/>
    <tableColumn id="6" uniqueName="6" name="SON_CNT_5" queryTableFieldId="6" headerRowDxfId="117" dataDxfId="116" headerRowCellStyle="Normal 2" dataCellStyle="Normal 2"/>
    <tableColumn id="7" uniqueName="7" name="SON_CNT_UP_6" queryTableFieldId="7" headerRowDxfId="115" dataDxfId="114" headerRowCellStyle="Normal 2" dataCellStyle="Normal 2"/>
    <tableColumn id="8" uniqueName="8" name="SON_CNT_NOT_STATED" queryTableFieldId="8" headerRowDxfId="113" dataDxfId="112" headerRowCellStyle="Normal 2" dataCellStyle="Normal 2"/>
    <tableColumn id="9" uniqueName="9" name="TOTAL" queryTableFieldId="9" headerRowDxfId="111" dataDxfId="110" headerRowCellStyle="Normal 2" dataCellStyle="Normal 2"/>
  </tableColumns>
  <tableStyleInfo name="VITAL" showFirstColumn="0" showLastColumn="0" showRowStripes="1" showColumnStripes="0"/>
</table>
</file>

<file path=xl/tables/table79.xml><?xml version="1.0" encoding="utf-8"?>
<table xmlns="http://schemas.openxmlformats.org/spreadsheetml/2006/main" id="52" name="Table_Default__XLS_TAB_41_353" displayName="Table_Default__XLS_TAB_41_353" ref="B9:J19" tableType="queryTable" headerRowCount="0" totalsRowShown="0" headerRowDxfId="109" dataDxfId="108" tableBorderDxfId="107" headerRowCellStyle="Normal 2" dataCellStyle="Normal 2">
  <tableColumns count="9">
    <tableColumn id="1" uniqueName="1" name="SON_CNT_0" queryTableFieldId="1" headerRowDxfId="106" dataDxfId="105" headerRowCellStyle="Normal 2" dataCellStyle="Normal 2"/>
    <tableColumn id="2" uniqueName="2" name="SON_CNT_1" queryTableFieldId="2" headerRowDxfId="104" dataDxfId="103" headerRowCellStyle="Normal 2" dataCellStyle="Normal 2"/>
    <tableColumn id="3" uniqueName="3" name="SON_CNT_2" queryTableFieldId="3" headerRowDxfId="102" dataDxfId="101" headerRowCellStyle="Normal 2" dataCellStyle="Normal 2"/>
    <tableColumn id="4" uniqueName="4" name="SON_CNT_3" queryTableFieldId="4" headerRowDxfId="100" dataDxfId="99" headerRowCellStyle="Normal 2" dataCellStyle="Normal 2"/>
    <tableColumn id="5" uniqueName="5" name="SON_CNT_4" queryTableFieldId="5" headerRowDxfId="98" dataDxfId="97" headerRowCellStyle="Normal 2" dataCellStyle="Normal 2"/>
    <tableColumn id="6" uniqueName="6" name="SON_CNT_5" queryTableFieldId="6" headerRowDxfId="96" dataDxfId="95" headerRowCellStyle="Normal 2" dataCellStyle="Normal 2"/>
    <tableColumn id="7" uniqueName="7" name="SON_CNT_UP_6" queryTableFieldId="7" headerRowDxfId="94" dataDxfId="93" headerRowCellStyle="Normal 2" dataCellStyle="Normal 2"/>
    <tableColumn id="8" uniqueName="8" name="SON_CNT_NOT_STATED" queryTableFieldId="8" headerRowDxfId="92" dataDxfId="91" headerRowCellStyle="Normal 2" dataCellStyle="Normal 2"/>
    <tableColumn id="9" uniqueName="9" name="TOTAL" queryTableFieldId="9" headerRowDxfId="90" dataDxfId="89" headerRowCellStyle="Normal 2" dataCellStyle="Normal 2"/>
  </tableColumns>
  <tableStyleInfo name="VITAL" showFirstColumn="0" showLastColumn="0" showRowStripes="1" showColumnStripes="0"/>
</table>
</file>

<file path=xl/tables/table8.xml><?xml version="1.0" encoding="utf-8"?>
<table xmlns="http://schemas.openxmlformats.org/spreadsheetml/2006/main" id="8" name="Table_Default__XLS_TAB_11_2" displayName="Table_Default__XLS_TAB_11_2" ref="A9:N23" tableType="queryTable" headerRowCount="0" totalsRowCount="1" dataDxfId="2017" totalsRowDxfId="2015" tableBorderDxfId="2016" totalsRowBorderDxfId="2014" dataCellStyle="Normal 2">
  <tableColumns count="14">
    <tableColumn id="1" uniqueName="1" name="AGE_LEVEL_HUSBD_ARB" totalsRowLabel="المجموع" queryTableFieldId="1" headerRowDxfId="2013" dataDxfId="2012" totalsRowDxfId="2011" headerRowCellStyle="Normal 2" dataCellStyle="Normal 2"/>
    <tableColumn id="2" uniqueName="2" name="AGE_LEVEL_LESS_20" totalsRowFunction="sum" queryTableFieldId="2" headerRowDxfId="2010" dataDxfId="2009" totalsRowDxfId="2008" headerRowCellStyle="Normal 2" dataCellStyle="Normal 2"/>
    <tableColumn id="3" uniqueName="3" name="AGE_LEVEL_20_24" totalsRowFunction="sum" queryTableFieldId="3" headerRowDxfId="2007" dataDxfId="2006" totalsRowDxfId="2005" headerRowCellStyle="Normal 2" dataCellStyle="Normal 2"/>
    <tableColumn id="4" uniqueName="4" name="AGE_LEVEL_25_29" totalsRowFunction="sum" queryTableFieldId="4" headerRowDxfId="2004" dataDxfId="2003" totalsRowDxfId="2002" headerRowCellStyle="Normal 2" dataCellStyle="Normal 2"/>
    <tableColumn id="5" uniqueName="5" name="AGE_LEVEL_30_34" totalsRowFunction="sum" queryTableFieldId="5" headerRowDxfId="2001" dataDxfId="2000" totalsRowDxfId="1999" headerRowCellStyle="Normal 2" dataCellStyle="Normal 2"/>
    <tableColumn id="6" uniqueName="6" name="AGE_LEVEL_35_39" totalsRowFunction="sum" queryTableFieldId="6" headerRowDxfId="1998" dataDxfId="1997" totalsRowDxfId="1996" headerRowCellStyle="Normal 2" dataCellStyle="Normal 2"/>
    <tableColumn id="7" uniqueName="7" name="AGE_LEVEL_40_44" totalsRowFunction="sum" queryTableFieldId="7" headerRowDxfId="1995" dataDxfId="1994" totalsRowDxfId="1993" headerRowCellStyle="Normal 2" dataCellStyle="Normal 2"/>
    <tableColumn id="8" uniqueName="8" name="AGE_LEVEL_45_49" totalsRowFunction="sum" queryTableFieldId="8" headerRowDxfId="1992" dataDxfId="1991" totalsRowDxfId="1990" headerRowCellStyle="Normal 2" dataCellStyle="Normal 2"/>
    <tableColumn id="9" uniqueName="9" name="AGE_LEVEL_50_54" totalsRowFunction="sum" queryTableFieldId="9" headerRowDxfId="1989" dataDxfId="1988" totalsRowDxfId="1987" headerRowCellStyle="Normal 2" dataCellStyle="Normal 2"/>
    <tableColumn id="10" uniqueName="10" name="AGE_LEVEL_55_59" totalsRowFunction="sum" queryTableFieldId="10" headerRowDxfId="1986" dataDxfId="1985" totalsRowDxfId="1984" headerRowCellStyle="Normal 2" dataCellStyle="Normal 2"/>
    <tableColumn id="11" uniqueName="11" name="AGE_LEVEL_UP_60" totalsRowFunction="sum" queryTableFieldId="11" headerRowDxfId="1983" dataDxfId="1982" totalsRowDxfId="1981" headerRowCellStyle="Normal 2" dataCellStyle="Normal 2"/>
    <tableColumn id="12" uniqueName="12" name="AGE_LEVEL_NOT_STATED" totalsRowFunction="sum" queryTableFieldId="12" headerRowDxfId="1980" dataDxfId="1979" totalsRowDxfId="1978" headerRowCellStyle="Normal 2" dataCellStyle="Normal 2"/>
    <tableColumn id="13" uniqueName="13" name="TOTAL" totalsRowFunction="sum" queryTableFieldId="13" headerRowDxfId="1977" dataDxfId="1976" totalsRowDxfId="1975" headerRowCellStyle="Normal 2" dataCellStyle="Normal 2"/>
    <tableColumn id="14" uniqueName="14" name="AGE_LEVEL_HUSBD_ENG" totalsRowLabel="Total" queryTableFieldId="14" headerRowDxfId="1974" dataDxfId="1973" totalsRowDxfId="1972" headerRowCellStyle="Normal 2" dataCellStyle="Normal 2"/>
  </tableColumns>
  <tableStyleInfo name="VITAL" showFirstColumn="0" showLastColumn="0" showRowStripes="1" showColumnStripes="0"/>
</table>
</file>

<file path=xl/tables/table80.xml><?xml version="1.0" encoding="utf-8"?>
<table xmlns="http://schemas.openxmlformats.org/spreadsheetml/2006/main" id="3" name="Table_Default__XLS_TAB_424" displayName="Table_Default__XLS_TAB_424" ref="C8:J15" tableType="queryTable" headerRowCount="0" totalsRowShown="0" headerRowDxfId="88" dataDxfId="87" tableBorderDxfId="86" headerRowCellStyle="Normal 2" dataCellStyle="Normal 2">
  <tableColumns count="8">
    <tableColumn id="1" uniqueName="1" name="CNT_0" queryTableFieldId="1" headerRowDxfId="85" dataDxfId="84" headerRowCellStyle="Normal 2" dataCellStyle="Normal 2"/>
    <tableColumn id="2" uniqueName="2" name="CNT_1" queryTableFieldId="2" headerRowDxfId="83" dataDxfId="82" headerRowCellStyle="Normal 2" dataCellStyle="Normal 2"/>
    <tableColumn id="3" uniqueName="3" name="CNT_2" queryTableFieldId="3" headerRowDxfId="81" dataDxfId="80" headerRowCellStyle="Normal 2" dataCellStyle="Normal 2"/>
    <tableColumn id="4" uniqueName="4" name="CNT_3" queryTableFieldId="4" headerRowDxfId="79" dataDxfId="78" headerRowCellStyle="Normal 2" dataCellStyle="Normal 2"/>
    <tableColumn id="5" uniqueName="5" name="CNT_4" queryTableFieldId="5" headerRowDxfId="77" dataDxfId="76" headerRowCellStyle="Normal 2" dataCellStyle="Normal 2"/>
    <tableColumn id="6" uniqueName="6" name="CNT_5" queryTableFieldId="6" headerRowDxfId="75" dataDxfId="74" headerRowCellStyle="Normal 2" dataCellStyle="Normal 2"/>
    <tableColumn id="7" uniqueName="7" name="CNT_6" queryTableFieldId="7" headerRowDxfId="73" dataDxfId="72" headerRowCellStyle="Normal 2" dataCellStyle="Normal 2"/>
    <tableColumn id="8" uniqueName="8" name="NOT_STATED" queryTableFieldId="8" headerRowDxfId="71" dataDxfId="70" headerRowCellStyle="Normal 2" dataCellStyle="Normal 2"/>
  </tableColumns>
  <tableStyleInfo name="VITAL" showFirstColumn="0" showLastColumn="0" showRowStripes="1" showColumnStripes="0"/>
</table>
</file>

<file path=xl/tables/table81.xml><?xml version="1.0" encoding="utf-8"?>
<table xmlns="http://schemas.openxmlformats.org/spreadsheetml/2006/main" id="81" name="Table_Default__XLS_TAB_43" displayName="Table_Default__XLS_TAB_43" ref="A8:L19" tableType="queryTable" headerRowCount="0" totalsRowShown="0" headerRowDxfId="69" tableBorderDxfId="68" headerRowCellStyle="Normal 2">
  <tableColumns count="12">
    <tableColumn id="1" uniqueName="1" name="MARRD_PRD_HUSBD_ARB" queryTableFieldId="1" headerRowDxfId="67" dataDxfId="66" headerRowCellStyle="Normal 2" dataCellStyle="TXT1"/>
    <tableColumn id="2" uniqueName="2" name="CAT_1_SON_CNT" queryTableFieldId="2" headerRowDxfId="65" dataDxfId="64" headerRowCellStyle="Normal 2" dataCellStyle="Normal 2"/>
    <tableColumn id="3" uniqueName="3" name="CAT_1_CASE_CNT" queryTableFieldId="3" headerRowDxfId="63" dataDxfId="62" headerRowCellStyle="Normal 2" dataCellStyle="Normal 2"/>
    <tableColumn id="4" uniqueName="4" name="CAT_2_SON_CNT" queryTableFieldId="4" headerRowDxfId="61" dataDxfId="60" headerRowCellStyle="Normal 2" dataCellStyle="Normal 2"/>
    <tableColumn id="5" uniqueName="5" name="CAT_2_CASE_CNT" queryTableFieldId="5" headerRowDxfId="59" dataDxfId="58" headerRowCellStyle="Normal 2" dataCellStyle="Normal 2"/>
    <tableColumn id="6" uniqueName="6" name="CAT_3_SON_CNT" queryTableFieldId="6" headerRowDxfId="57" dataDxfId="56" headerRowCellStyle="Normal 2" dataCellStyle="Normal 2"/>
    <tableColumn id="7" uniqueName="7" name="CAT_3_CASE_CNT" queryTableFieldId="7" headerRowDxfId="55" dataDxfId="54" headerRowCellStyle="Normal 2" dataCellStyle="Normal 2"/>
    <tableColumn id="8" uniqueName="8" name="CAT_4_SON_CNT" queryTableFieldId="8" headerRowDxfId="53" dataDxfId="52" headerRowCellStyle="Normal 2" dataCellStyle="Normal 2"/>
    <tableColumn id="9" uniqueName="9" name="CAT_4_CASE_CNT" queryTableFieldId="9" headerRowDxfId="51" dataDxfId="50" headerRowCellStyle="Normal 2" dataCellStyle="Normal 2"/>
    <tableColumn id="10" uniqueName="10" name="CAT_TOT_SON_CNT" queryTableFieldId="10" headerRowDxfId="49" dataDxfId="48" headerRowCellStyle="Normal 2" dataCellStyle="Normal 2">
      <calculatedColumnFormula>Table_Default__XLS_TAB_43[[#This Row],[CAT_1_SON_CNT]]+Table_Default__XLS_TAB_43[[#This Row],[CAT_2_SON_CNT]]+Table_Default__XLS_TAB_43[[#This Row],[CAT_3_SON_CNT]]+Table_Default__XLS_TAB_43[[#This Row],[CAT_4_SON_CNT]]</calculatedColumnFormula>
    </tableColumn>
    <tableColumn id="11" uniqueName="11" name="CAT_TOT_CASE_CNT" queryTableFieldId="11" headerRowDxfId="47" dataDxfId="46" headerRowCellStyle="Normal 2" dataCellStyle="Normal 2">
      <calculatedColumnFormula>Table_Default__XLS_TAB_43[[#This Row],[CAT_1_CASE_CNT]]+Table_Default__XLS_TAB_43[[#This Row],[CAT_2_CASE_CNT]]+Table_Default__XLS_TAB_43[[#This Row],[CAT_3_CASE_CNT]]+Table_Default__XLS_TAB_43[[#This Row],[CAT_4_CASE_CNT]]</calculatedColumnFormula>
    </tableColumn>
    <tableColumn id="12" uniqueName="12" name="MARRD_PRD_HUSBD_ENG" queryTableFieldId="12" headerRowDxfId="45" dataDxfId="44" headerRowCellStyle="Normal 2" dataCellStyle="TXT1"/>
  </tableColumns>
  <tableStyleInfo name="VITAL" showFirstColumn="0" showLastColumn="0" showRowStripes="1" showColumnStripes="0"/>
</table>
</file>

<file path=xl/tables/table82.xml><?xml version="1.0" encoding="utf-8"?>
<table xmlns="http://schemas.openxmlformats.org/spreadsheetml/2006/main" id="83" name="Table_Default__XLS_TAB_27_284" displayName="Table_Default__XLS_TAB_27_284" ref="A7:E13" tableType="queryTable" headerRowCount="0" totalsRowShown="0" headerRowDxfId="43" dataDxfId="42" tableBorderDxfId="41" totalsRowBorderDxfId="40" headerRowCellStyle="Normal 2" dataCellStyle="Normal 2">
  <tableColumns count="5">
    <tableColumn id="1" uniqueName="1" name="MARR_PRD_ARB" queryTableFieldId="1" headerRowDxfId="39" dataDxfId="38" totalsRowDxfId="37" headerRowCellStyle="Normal 2" dataCellStyle="TXT1"/>
    <tableColumn id="2" uniqueName="2" name="QATARI_SON_CNT" queryTableFieldId="2" headerRowDxfId="36" dataDxfId="35" totalsRowDxfId="34" headerRowCellStyle="Normal 2" dataCellStyle="Normal 2"/>
    <tableColumn id="3" uniqueName="3" name="NON_QATARI_SON_CNT" queryTableFieldId="3" headerRowDxfId="33" dataDxfId="32" totalsRowDxfId="31" headerRowCellStyle="Normal 2" dataCellStyle="Normal 2"/>
    <tableColumn id="4" uniqueName="4" name="TOTAL" queryTableFieldId="4" headerRowDxfId="30" dataDxfId="29" totalsRowDxfId="28" headerRowCellStyle="Normal 2" dataCellStyle="Normal 2"/>
    <tableColumn id="5" uniqueName="5" name="MARR_PRD_ENG" queryTableFieldId="5" headerRowDxfId="27" dataDxfId="26" totalsRowDxfId="25" headerRowCellStyle="Normal 2" dataCellStyle="TXT1"/>
  </tableColumns>
  <tableStyleInfo name="VITAL" showFirstColumn="0" showLastColumn="0" showRowStripes="1" showColumnStripes="0"/>
</table>
</file>

<file path=xl/tables/table83.xml><?xml version="1.0" encoding="utf-8"?>
<table xmlns="http://schemas.openxmlformats.org/spreadsheetml/2006/main" id="84" name="Table_Default__XLS_TAB_48" displayName="Table_Default__XLS_TAB_48" ref="A7:E13" tableType="queryTable" headerRowCount="0" totalsRowShown="0" headerRowDxfId="24" tableBorderDxfId="23" headerRowCellStyle="Normal 2">
  <tableColumns count="5">
    <tableColumn id="1" uniqueName="1" name="MARR_PRD_ARB" queryTableFieldId="1" headerRowDxfId="22" dataDxfId="21" headerRowCellStyle="Normal 2" dataCellStyle="TXT1"/>
    <tableColumn id="2" uniqueName="2" name="QATARI_SON_CNT" queryTableFieldId="2" headerRowDxfId="20" dataDxfId="19" headerRowCellStyle="Normal 2" dataCellStyle="Normal 2"/>
    <tableColumn id="3" uniqueName="3" name="NON_QATARI_SON_CNT" queryTableFieldId="3" headerRowDxfId="18" dataDxfId="17" headerRowCellStyle="Normal 2" dataCellStyle="Normal 2"/>
    <tableColumn id="4" uniqueName="4" name="TOTAL" queryTableFieldId="4" headerRowDxfId="16" dataDxfId="15" headerRowCellStyle="Normal 2" dataCellStyle="Normal 2">
      <calculatedColumnFormula>Table_Default__XLS_TAB_48[[#This Row],[QATARI_SON_CNT]]+Table_Default__XLS_TAB_48[[#This Row],[NON_QATARI_SON_CNT]]</calculatedColumnFormula>
    </tableColumn>
    <tableColumn id="5" uniqueName="5" name="MARR_PRD_ENG" queryTableFieldId="5" headerRowDxfId="14" dataDxfId="13" headerRowCellStyle="Normal 2" dataCellStyle="TXT1"/>
  </tableColumns>
  <tableStyleInfo name="VITAL" showFirstColumn="0" showLastColumn="0" showRowStripes="1" showColumnStripes="0"/>
</table>
</file>

<file path=xl/tables/table9.xml><?xml version="1.0" encoding="utf-8"?>
<table xmlns="http://schemas.openxmlformats.org/spreadsheetml/2006/main" id="9" name="Table_Default__XLS_TAB_11_3" displayName="Table_Default__XLS_TAB_11_3" ref="A9:N23" tableType="queryTable" headerRowCount="0" totalsRowCount="1" dataDxfId="1971" totalsRowDxfId="1970" totalsRowBorderDxfId="1969" dataCellStyle="Normal 2">
  <tableColumns count="14">
    <tableColumn id="1" uniqueName="1" name="AGE_LEVEL_HUSBD_ARB" totalsRowLabel="المجموع" queryTableFieldId="1" headerRowDxfId="1968" dataDxfId="1967" totalsRowDxfId="1966" headerRowCellStyle="Normal 2" dataCellStyle="Normal 2"/>
    <tableColumn id="2" uniqueName="2" name="AGE_LEVEL_LESS_20" totalsRowFunction="sum" queryTableFieldId="2" headerRowDxfId="1965" dataDxfId="1964" totalsRowDxfId="1963" headerRowCellStyle="Normal 2" dataCellStyle="Normal 2"/>
    <tableColumn id="3" uniqueName="3" name="AGE_LEVEL_20_24" totalsRowFunction="sum" queryTableFieldId="3" headerRowDxfId="1962" dataDxfId="1961" totalsRowDxfId="1960" headerRowCellStyle="Normal 2" dataCellStyle="Normal 2"/>
    <tableColumn id="4" uniqueName="4" name="AGE_LEVEL_25_29" totalsRowFunction="sum" queryTableFieldId="4" headerRowDxfId="1959" dataDxfId="1958" totalsRowDxfId="1957" headerRowCellStyle="Normal 2" dataCellStyle="Normal 2"/>
    <tableColumn id="5" uniqueName="5" name="AGE_LEVEL_30_34" totalsRowFunction="sum" queryTableFieldId="5" headerRowDxfId="1956" dataDxfId="1955" totalsRowDxfId="1954" headerRowCellStyle="Normal 2" dataCellStyle="Normal 2"/>
    <tableColumn id="6" uniqueName="6" name="AGE_LEVEL_35_39" totalsRowFunction="sum" queryTableFieldId="6" headerRowDxfId="1953" dataDxfId="1952" totalsRowDxfId="1951" headerRowCellStyle="Normal 2" dataCellStyle="Normal 2"/>
    <tableColumn id="7" uniqueName="7" name="AGE_LEVEL_40_44" totalsRowFunction="sum" queryTableFieldId="7" headerRowDxfId="1950" dataDxfId="1949" totalsRowDxfId="1948" headerRowCellStyle="Normal 2" dataCellStyle="Normal 2"/>
    <tableColumn id="8" uniqueName="8" name="AGE_LEVEL_45_49" totalsRowFunction="sum" queryTableFieldId="8" headerRowDxfId="1947" dataDxfId="1946" totalsRowDxfId="1945" headerRowCellStyle="Normal 2" dataCellStyle="Normal 2"/>
    <tableColumn id="9" uniqueName="9" name="AGE_LEVEL_50_54" totalsRowFunction="sum" queryTableFieldId="9" headerRowDxfId="1944" dataDxfId="1943" totalsRowDxfId="1942" headerRowCellStyle="Normal 2" dataCellStyle="Normal 2"/>
    <tableColumn id="10" uniqueName="10" name="AGE_LEVEL_55_59" totalsRowFunction="sum" queryTableFieldId="10" headerRowDxfId="1941" dataDxfId="1940" totalsRowDxfId="1939" headerRowCellStyle="Normal 2" dataCellStyle="Normal 2"/>
    <tableColumn id="11" uniqueName="11" name="AGE_LEVEL_UP_60" totalsRowFunction="sum" queryTableFieldId="11" headerRowDxfId="1938" dataDxfId="1937" totalsRowDxfId="1936" headerRowCellStyle="Normal 2" dataCellStyle="Normal 2"/>
    <tableColumn id="12" uniqueName="12" name="AGE_LEVEL_NOT_STATED" totalsRowFunction="sum" queryTableFieldId="12" headerRowDxfId="1935" dataDxfId="1934" totalsRowDxfId="1933" headerRowCellStyle="Normal 2" dataCellStyle="Normal 2"/>
    <tableColumn id="13" uniqueName="13" name="TOTAL" totalsRowFunction="sum" queryTableFieldId="13" headerRowDxfId="1932" dataDxfId="1931" totalsRowDxfId="1930" headerRowCellStyle="Normal 2" dataCellStyle="Normal 2"/>
    <tableColumn id="14" uniqueName="14" name="AGE_LEVEL_HUSBD_ENG" totalsRowLabel="Total" queryTableFieldId="14" headerRowDxfId="1929" dataDxfId="1928" totalsRowDxfId="1927" headerRowCellStyle="Normal 2" dataCellStyle="Normal 2"/>
  </tableColumns>
  <tableStyleInfo name="VITA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68.xml"/><Relationship Id="rId2" Type="http://schemas.openxmlformats.org/officeDocument/2006/relationships/drawing" Target="../drawings/drawing9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drawing" Target="../drawings/drawing9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9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drawing" Target="../drawings/drawing9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table" Target="../tables/table72.xml"/><Relationship Id="rId2" Type="http://schemas.openxmlformats.org/officeDocument/2006/relationships/drawing" Target="../drawings/drawing10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table" Target="../tables/table73.xml"/><Relationship Id="rId2" Type="http://schemas.openxmlformats.org/officeDocument/2006/relationships/drawing" Target="../drawings/drawing10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table" Target="../tables/table74.xml"/><Relationship Id="rId2" Type="http://schemas.openxmlformats.org/officeDocument/2006/relationships/drawing" Target="../drawings/drawing104.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table" Target="../tables/table75.xml"/><Relationship Id="rId2" Type="http://schemas.openxmlformats.org/officeDocument/2006/relationships/drawing" Target="../drawings/drawing10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table" Target="../tables/table76.xml"/><Relationship Id="rId2" Type="http://schemas.openxmlformats.org/officeDocument/2006/relationships/drawing" Target="../drawings/drawing10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drawing" Target="../drawings/drawing11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111.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112.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drawing" Target="../drawings/drawing113.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table" Target="../tables/table81.xml"/><Relationship Id="rId2" Type="http://schemas.openxmlformats.org/officeDocument/2006/relationships/drawing" Target="../drawings/drawing115.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table" Target="../tables/table82.xml"/><Relationship Id="rId2" Type="http://schemas.openxmlformats.org/officeDocument/2006/relationships/drawing" Target="../drawings/drawing116.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drawing" Target="../drawings/drawing11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8"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6"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9"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7"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0"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5"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8"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6"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6"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9"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7"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0"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5"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8"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6"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9"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9"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9"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7"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0"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5"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8"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6"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9"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7"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0"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5"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7"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5"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8"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6"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9"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7"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0"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0"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5"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5"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8"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6"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9"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7"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0"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0"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5"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8"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6"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8"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7"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5" Type="http://schemas.openxmlformats.org/officeDocument/2006/relationships/printerSettings" Target="../printerSettings/printerSettings4.bin"/><Relationship Id="rId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6"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0"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1"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5"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3"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0"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9"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9"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4"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2" Type="http://schemas.openxmlformats.org/officeDocument/2006/relationships/hyperlink" Target="file://C:\Users\aabdelwahab\AppData\Local\Microsoft\Windows\Temporary%20Internet%20Files\Content.Outlook\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s>
</file>

<file path=xl/worksheets/_rels/sheet40.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4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4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4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5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5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5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6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6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6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6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6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6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6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6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6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6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7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7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7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7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7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7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7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7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7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7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8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8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8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8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8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8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8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8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8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drawing" Target="../drawings/drawing9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9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drawing" Target="../drawings/drawing9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rightToLeft="1" view="pageBreakPreview" zoomScaleNormal="100" zoomScaleSheetLayoutView="100" workbookViewId="0">
      <selection activeCell="M18" sqref="M18"/>
    </sheetView>
  </sheetViews>
  <sheetFormatPr defaultRowHeight="15"/>
  <cols>
    <col min="1" max="1" width="21.42578125" customWidth="1"/>
  </cols>
  <sheetData>
    <row r="1" spans="1:2">
      <c r="A1" s="94" t="s">
        <v>431</v>
      </c>
      <c r="B1">
        <v>2019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32"/>
  <sheetViews>
    <sheetView rightToLeft="1" view="pageBreakPreview" zoomScaleNormal="100" zoomScaleSheetLayoutView="100" workbookViewId="0">
      <selection activeCell="I13" sqref="I13"/>
    </sheetView>
  </sheetViews>
  <sheetFormatPr defaultColWidth="9.140625" defaultRowHeight="12.75"/>
  <cols>
    <col min="1" max="1" width="16.85546875" style="1" customWidth="1"/>
    <col min="2" max="2" width="8.42578125" style="1" customWidth="1"/>
    <col min="3" max="3" width="8.42578125" style="12" customWidth="1"/>
    <col min="4" max="4" width="8.42578125" style="1" customWidth="1"/>
    <col min="5" max="5" width="8.42578125" style="12" customWidth="1"/>
    <col min="6" max="6" width="8.42578125" style="1" customWidth="1"/>
    <col min="7" max="7" width="8.42578125" style="12" customWidth="1"/>
    <col min="8" max="8" width="8.42578125" style="1" customWidth="1"/>
    <col min="9" max="9" width="8.42578125" style="12" customWidth="1"/>
    <col min="10" max="10" width="8.42578125" style="1" customWidth="1"/>
    <col min="11" max="11" width="8.42578125" style="12" customWidth="1"/>
    <col min="12" max="12" width="8.42578125" style="1" customWidth="1"/>
    <col min="13" max="13" width="8.42578125" style="12" customWidth="1"/>
    <col min="14" max="14" width="14" style="1" customWidth="1"/>
    <col min="15" max="16384" width="9.140625" style="1"/>
  </cols>
  <sheetData>
    <row r="1" spans="1:14" ht="23.25" customHeight="1">
      <c r="A1" s="1009" t="s">
        <v>564</v>
      </c>
      <c r="B1" s="1009"/>
      <c r="C1" s="1009"/>
      <c r="D1" s="1009"/>
      <c r="E1" s="1009"/>
      <c r="F1" s="1009"/>
      <c r="G1" s="1009"/>
      <c r="H1" s="1009"/>
      <c r="I1" s="1009"/>
      <c r="J1" s="1009"/>
      <c r="K1" s="1009"/>
      <c r="L1" s="1009"/>
      <c r="M1" s="1009"/>
      <c r="N1" s="1009"/>
    </row>
    <row r="2" spans="1:14" s="25" customFormat="1" ht="15.75">
      <c r="A2" s="1015" t="s">
        <v>568</v>
      </c>
      <c r="B2" s="1015"/>
      <c r="C2" s="1015"/>
      <c r="D2" s="1015"/>
      <c r="E2" s="1015"/>
      <c r="F2" s="1015"/>
      <c r="G2" s="1015"/>
      <c r="H2" s="1015"/>
      <c r="I2" s="1015"/>
      <c r="J2" s="1015"/>
      <c r="K2" s="1015"/>
      <c r="L2" s="1015"/>
      <c r="M2" s="1015"/>
      <c r="N2" s="1015"/>
    </row>
    <row r="3" spans="1:14" s="25" customFormat="1" ht="15.75">
      <c r="A3" s="1016" t="s">
        <v>751</v>
      </c>
      <c r="B3" s="1016"/>
      <c r="C3" s="1016"/>
      <c r="D3" s="1016"/>
      <c r="E3" s="1016"/>
      <c r="F3" s="1016"/>
      <c r="G3" s="1016"/>
      <c r="H3" s="1016"/>
      <c r="I3" s="1016"/>
      <c r="J3" s="1016"/>
      <c r="K3" s="1016"/>
      <c r="L3" s="1016"/>
      <c r="M3" s="1016"/>
      <c r="N3" s="1016"/>
    </row>
    <row r="4" spans="1:14" s="25" customFormat="1" ht="15.75">
      <c r="A4" s="356"/>
      <c r="B4" s="356"/>
      <c r="C4" s="356"/>
      <c r="D4" s="356"/>
      <c r="E4" s="356"/>
      <c r="F4" s="356"/>
      <c r="G4" s="356"/>
      <c r="H4" s="356"/>
      <c r="I4" s="356"/>
      <c r="J4" s="356"/>
      <c r="K4" s="356"/>
      <c r="L4" s="356"/>
      <c r="M4" s="356"/>
      <c r="N4" s="356"/>
    </row>
    <row r="5" spans="1:14" ht="21.75" customHeight="1">
      <c r="A5" s="357" t="s">
        <v>32</v>
      </c>
      <c r="B5" s="358"/>
      <c r="C5" s="359"/>
      <c r="D5" s="358"/>
      <c r="E5" s="359"/>
      <c r="F5" s="358"/>
      <c r="G5" s="359"/>
      <c r="H5" s="358"/>
      <c r="I5" s="359"/>
      <c r="J5" s="358"/>
      <c r="K5" s="358"/>
      <c r="L5" s="358"/>
      <c r="M5" s="358"/>
      <c r="N5" s="360" t="s">
        <v>396</v>
      </c>
    </row>
    <row r="6" spans="1:14" ht="38.25" customHeight="1" thickBot="1">
      <c r="A6" s="1012" t="s">
        <v>31</v>
      </c>
      <c r="B6" s="1011" t="s">
        <v>30</v>
      </c>
      <c r="C6" s="1011"/>
      <c r="D6" s="1011"/>
      <c r="E6" s="1011"/>
      <c r="F6" s="1011"/>
      <c r="G6" s="1011"/>
      <c r="H6" s="1011" t="s">
        <v>702</v>
      </c>
      <c r="I6" s="1011"/>
      <c r="J6" s="1011"/>
      <c r="K6" s="1011"/>
      <c r="L6" s="1011"/>
      <c r="M6" s="1011"/>
      <c r="N6" s="1017" t="s">
        <v>29</v>
      </c>
    </row>
    <row r="7" spans="1:14" ht="29.25" customHeight="1" thickBot="1">
      <c r="A7" s="1013"/>
      <c r="B7" s="1010" t="s">
        <v>1294</v>
      </c>
      <c r="C7" s="1010"/>
      <c r="D7" s="1010" t="s">
        <v>1295</v>
      </c>
      <c r="E7" s="1010"/>
      <c r="F7" s="1010" t="s">
        <v>28</v>
      </c>
      <c r="G7" s="1010"/>
      <c r="H7" s="1010" t="s">
        <v>1294</v>
      </c>
      <c r="I7" s="1010"/>
      <c r="J7" s="1010" t="s">
        <v>1295</v>
      </c>
      <c r="K7" s="1010"/>
      <c r="L7" s="1010" t="s">
        <v>28</v>
      </c>
      <c r="M7" s="1010"/>
      <c r="N7" s="1018"/>
    </row>
    <row r="8" spans="1:14" ht="27">
      <c r="A8" s="1014"/>
      <c r="B8" s="24" t="s">
        <v>27</v>
      </c>
      <c r="C8" s="134" t="s">
        <v>26</v>
      </c>
      <c r="D8" s="24" t="s">
        <v>27</v>
      </c>
      <c r="E8" s="134" t="s">
        <v>26</v>
      </c>
      <c r="F8" s="24" t="s">
        <v>27</v>
      </c>
      <c r="G8" s="134" t="s">
        <v>26</v>
      </c>
      <c r="H8" s="24" t="s">
        <v>27</v>
      </c>
      <c r="I8" s="134" t="s">
        <v>26</v>
      </c>
      <c r="J8" s="24" t="s">
        <v>27</v>
      </c>
      <c r="K8" s="134" t="s">
        <v>26</v>
      </c>
      <c r="L8" s="24" t="s">
        <v>27</v>
      </c>
      <c r="M8" s="134" t="s">
        <v>26</v>
      </c>
      <c r="N8" s="1019"/>
    </row>
    <row r="9" spans="1:14" s="95" customFormat="1" hidden="1">
      <c r="A9" s="137">
        <v>2011</v>
      </c>
      <c r="B9" s="101">
        <v>1898</v>
      </c>
      <c r="C9" s="138">
        <v>57.6</v>
      </c>
      <c r="D9" s="101">
        <v>1395</v>
      </c>
      <c r="E9" s="138">
        <v>42.4</v>
      </c>
      <c r="F9" s="101">
        <v>3293</v>
      </c>
      <c r="G9" s="138">
        <v>100</v>
      </c>
      <c r="H9" s="101">
        <v>754</v>
      </c>
      <c r="I9" s="138">
        <v>68.099999999999994</v>
      </c>
      <c r="J9" s="101">
        <v>354</v>
      </c>
      <c r="K9" s="138">
        <v>31.900000000000002</v>
      </c>
      <c r="L9" s="139">
        <v>1108</v>
      </c>
      <c r="M9" s="140">
        <v>100</v>
      </c>
      <c r="N9" s="137">
        <v>2011</v>
      </c>
    </row>
    <row r="10" spans="1:14" ht="24.95" customHeight="1" thickBot="1">
      <c r="A10" s="1228">
        <v>2010</v>
      </c>
      <c r="B10" s="1229">
        <v>1752</v>
      </c>
      <c r="C10" s="1230">
        <v>58.9</v>
      </c>
      <c r="D10" s="1229">
        <v>1225</v>
      </c>
      <c r="E10" s="1230">
        <v>41.1</v>
      </c>
      <c r="F10" s="1231">
        <v>2977</v>
      </c>
      <c r="G10" s="1232">
        <v>100</v>
      </c>
      <c r="H10" s="1229">
        <v>820</v>
      </c>
      <c r="I10" s="1230">
        <v>70</v>
      </c>
      <c r="J10" s="1229">
        <v>352</v>
      </c>
      <c r="K10" s="1230">
        <v>30</v>
      </c>
      <c r="L10" s="1231">
        <v>1172</v>
      </c>
      <c r="M10" s="1232">
        <v>100</v>
      </c>
      <c r="N10" s="552">
        <v>2010</v>
      </c>
    </row>
    <row r="11" spans="1:14" ht="24.95" customHeight="1" thickBot="1">
      <c r="A11" s="1233">
        <v>2011</v>
      </c>
      <c r="B11" s="1234">
        <v>1898</v>
      </c>
      <c r="C11" s="1235">
        <v>57.6</v>
      </c>
      <c r="D11" s="1234">
        <v>1395</v>
      </c>
      <c r="E11" s="1235">
        <v>42.4</v>
      </c>
      <c r="F11" s="1236">
        <v>3293</v>
      </c>
      <c r="G11" s="1237">
        <v>100</v>
      </c>
      <c r="H11" s="1234">
        <v>754</v>
      </c>
      <c r="I11" s="1235">
        <v>68.099999999999994</v>
      </c>
      <c r="J11" s="1234">
        <v>354</v>
      </c>
      <c r="K11" s="1235">
        <v>31.9</v>
      </c>
      <c r="L11" s="1236">
        <v>1108</v>
      </c>
      <c r="M11" s="1237">
        <v>100</v>
      </c>
      <c r="N11" s="553">
        <v>2011</v>
      </c>
    </row>
    <row r="12" spans="1:14" s="95" customFormat="1" ht="24.95" customHeight="1" thickBot="1">
      <c r="A12" s="1238">
        <v>2012</v>
      </c>
      <c r="B12" s="1239">
        <v>2053</v>
      </c>
      <c r="C12" s="1240">
        <v>58.1</v>
      </c>
      <c r="D12" s="1239">
        <v>1479</v>
      </c>
      <c r="E12" s="1240">
        <v>41.874292185730468</v>
      </c>
      <c r="F12" s="1241">
        <v>3532</v>
      </c>
      <c r="G12" s="1242">
        <v>100</v>
      </c>
      <c r="H12" s="1239">
        <v>835</v>
      </c>
      <c r="I12" s="1240">
        <v>58.8</v>
      </c>
      <c r="J12" s="1239">
        <v>585</v>
      </c>
      <c r="K12" s="1240">
        <v>41.2</v>
      </c>
      <c r="L12" s="1241">
        <v>1420</v>
      </c>
      <c r="M12" s="1242">
        <v>100</v>
      </c>
      <c r="N12" s="554">
        <v>2012</v>
      </c>
    </row>
    <row r="13" spans="1:14" ht="24.95" customHeight="1" thickBot="1">
      <c r="A13" s="1233">
        <v>2013</v>
      </c>
      <c r="B13" s="1234">
        <v>2072</v>
      </c>
      <c r="C13" s="1235">
        <v>57.3</v>
      </c>
      <c r="D13" s="1234">
        <v>1547</v>
      </c>
      <c r="E13" s="1235">
        <v>42.7</v>
      </c>
      <c r="F13" s="1236">
        <v>3619</v>
      </c>
      <c r="G13" s="1237">
        <v>100</v>
      </c>
      <c r="H13" s="1234">
        <v>817</v>
      </c>
      <c r="I13" s="1235">
        <v>61.6</v>
      </c>
      <c r="J13" s="1234">
        <v>509</v>
      </c>
      <c r="K13" s="1235">
        <v>38.4</v>
      </c>
      <c r="L13" s="1236">
        <v>1326</v>
      </c>
      <c r="M13" s="1237">
        <v>100</v>
      </c>
      <c r="N13" s="553">
        <v>2013</v>
      </c>
    </row>
    <row r="14" spans="1:14" s="95" customFormat="1" ht="24.95" customHeight="1" thickBot="1">
      <c r="A14" s="1238">
        <v>2014</v>
      </c>
      <c r="B14" s="1239">
        <v>2076</v>
      </c>
      <c r="C14" s="1240">
        <v>56.5</v>
      </c>
      <c r="D14" s="1239">
        <v>1598</v>
      </c>
      <c r="E14" s="1240">
        <v>43.5</v>
      </c>
      <c r="F14" s="1241">
        <v>3674</v>
      </c>
      <c r="G14" s="1242">
        <v>100</v>
      </c>
      <c r="H14" s="1239">
        <v>803</v>
      </c>
      <c r="I14" s="1240">
        <v>61.1</v>
      </c>
      <c r="J14" s="1239">
        <v>512</v>
      </c>
      <c r="K14" s="1240">
        <v>38.9</v>
      </c>
      <c r="L14" s="1241">
        <v>1315</v>
      </c>
      <c r="M14" s="1242">
        <v>100</v>
      </c>
      <c r="N14" s="554">
        <v>2014</v>
      </c>
    </row>
    <row r="15" spans="1:14" ht="24.95" customHeight="1" thickBot="1">
      <c r="A15" s="1233">
        <v>2015</v>
      </c>
      <c r="B15" s="1234">
        <v>2069</v>
      </c>
      <c r="C15" s="1235">
        <v>55.6</v>
      </c>
      <c r="D15" s="1234">
        <v>1655</v>
      </c>
      <c r="E15" s="1235">
        <v>44.4</v>
      </c>
      <c r="F15" s="1236">
        <v>3724</v>
      </c>
      <c r="G15" s="1237">
        <v>100</v>
      </c>
      <c r="H15" s="1234">
        <v>807</v>
      </c>
      <c r="I15" s="1235">
        <v>61.7</v>
      </c>
      <c r="J15" s="1234">
        <v>500</v>
      </c>
      <c r="K15" s="1235">
        <v>38.299999999999997</v>
      </c>
      <c r="L15" s="1236">
        <v>1307</v>
      </c>
      <c r="M15" s="1237">
        <v>100</v>
      </c>
      <c r="N15" s="553">
        <v>2015</v>
      </c>
    </row>
    <row r="16" spans="1:14" s="95" customFormat="1" ht="24.95" customHeight="1" thickBot="1">
      <c r="A16" s="1238">
        <v>2016</v>
      </c>
      <c r="B16" s="1239">
        <v>2097</v>
      </c>
      <c r="C16" s="1235">
        <v>54.751958224543088</v>
      </c>
      <c r="D16" s="1239">
        <v>1733</v>
      </c>
      <c r="E16" s="1240">
        <v>45.248041775456919</v>
      </c>
      <c r="F16" s="1241">
        <v>3830</v>
      </c>
      <c r="G16" s="1242">
        <v>100</v>
      </c>
      <c r="H16" s="1239">
        <v>730</v>
      </c>
      <c r="I16" s="1240">
        <v>63.4</v>
      </c>
      <c r="J16" s="1239">
        <v>421</v>
      </c>
      <c r="K16" s="1240">
        <v>36.6</v>
      </c>
      <c r="L16" s="1241">
        <v>1151</v>
      </c>
      <c r="M16" s="1242">
        <v>100</v>
      </c>
      <c r="N16" s="554">
        <v>2016</v>
      </c>
    </row>
    <row r="17" spans="1:14" ht="24.95" customHeight="1" thickBot="1">
      <c r="A17" s="1233">
        <v>2017</v>
      </c>
      <c r="B17" s="1234">
        <v>2181</v>
      </c>
      <c r="C17" s="1243">
        <v>58.660570199031739</v>
      </c>
      <c r="D17" s="1234">
        <v>1537</v>
      </c>
      <c r="E17" s="1235">
        <v>41.339429800968261</v>
      </c>
      <c r="F17" s="1236">
        <v>3718</v>
      </c>
      <c r="G17" s="1237">
        <v>100</v>
      </c>
      <c r="H17" s="1234">
        <v>786</v>
      </c>
      <c r="I17" s="1235">
        <v>65.2</v>
      </c>
      <c r="J17" s="1234">
        <v>420</v>
      </c>
      <c r="K17" s="1235">
        <v>34.799999999999997</v>
      </c>
      <c r="L17" s="1236">
        <v>1206</v>
      </c>
      <c r="M17" s="1237">
        <v>100</v>
      </c>
      <c r="N17" s="553">
        <v>2017</v>
      </c>
    </row>
    <row r="18" spans="1:14" s="95" customFormat="1" ht="24.95" customHeight="1" thickBot="1">
      <c r="A18" s="1238">
        <v>2018</v>
      </c>
      <c r="B18" s="1239">
        <v>2184</v>
      </c>
      <c r="C18" s="1240">
        <f>+Table_Default__XLS_TAB_1[[#This Row],[M_QTRI_COUNT]]/Table_Default__XLS_TAB_1[[#This Row],[M_QTRI_TOT_COUNT]]*100</f>
        <v>58.116019159127198</v>
      </c>
      <c r="D18" s="1239">
        <v>1574</v>
      </c>
      <c r="E18" s="1240">
        <v>41.883980840872802</v>
      </c>
      <c r="F18" s="1241">
        <v>3758</v>
      </c>
      <c r="G18" s="1242">
        <v>100</v>
      </c>
      <c r="H18" s="1239">
        <v>799</v>
      </c>
      <c r="I18" s="1240">
        <v>67.599999999999994</v>
      </c>
      <c r="J18" s="1239">
        <v>383</v>
      </c>
      <c r="K18" s="1240">
        <v>32.4</v>
      </c>
      <c r="L18" s="1241">
        <v>1182</v>
      </c>
      <c r="M18" s="1242">
        <v>100</v>
      </c>
      <c r="N18" s="554">
        <v>2018</v>
      </c>
    </row>
    <row r="19" spans="1:14" ht="24.95" customHeight="1">
      <c r="A19" s="1244">
        <v>2019</v>
      </c>
      <c r="B19" s="1245">
        <v>2077</v>
      </c>
      <c r="C19" s="1246">
        <v>57.4</v>
      </c>
      <c r="D19" s="1245">
        <v>1544</v>
      </c>
      <c r="E19" s="1246">
        <v>42.6</v>
      </c>
      <c r="F19" s="1247">
        <v>3621</v>
      </c>
      <c r="G19" s="1248">
        <v>100</v>
      </c>
      <c r="H19" s="1245">
        <v>1115</v>
      </c>
      <c r="I19" s="1249">
        <v>60.829241680305515</v>
      </c>
      <c r="J19" s="1250">
        <v>718</v>
      </c>
      <c r="K19" s="1251">
        <v>34.82587064676617</v>
      </c>
      <c r="L19" s="1247">
        <v>1833</v>
      </c>
      <c r="M19" s="1248">
        <v>100</v>
      </c>
      <c r="N19" s="555">
        <v>2019</v>
      </c>
    </row>
    <row r="20" spans="1:14">
      <c r="C20" s="1"/>
      <c r="E20" s="1"/>
    </row>
    <row r="21" spans="1:14" s="13" customFormat="1" ht="73.5" customHeight="1">
      <c r="A21" s="1"/>
      <c r="B21" s="1"/>
      <c r="C21" s="102"/>
      <c r="D21" s="12"/>
      <c r="E21" s="12">
        <f>+B12+D12</f>
        <v>3532</v>
      </c>
      <c r="F21" s="102"/>
      <c r="G21" s="12">
        <f>+B12/E21*100</f>
        <v>58.125707814269532</v>
      </c>
      <c r="H21" s="1"/>
      <c r="I21" s="12"/>
      <c r="J21" s="1"/>
      <c r="K21" s="12"/>
      <c r="L21" s="1"/>
      <c r="M21" s="12"/>
      <c r="N21" s="1"/>
    </row>
    <row r="22" spans="1:14" ht="105.75">
      <c r="A22" s="135" t="s">
        <v>1296</v>
      </c>
      <c r="B22" s="135" t="s">
        <v>1297</v>
      </c>
      <c r="C22" s="135" t="s">
        <v>1298</v>
      </c>
      <c r="D22" s="135" t="s">
        <v>1299</v>
      </c>
      <c r="E22" s="135"/>
    </row>
    <row r="23" spans="1:14" ht="15">
      <c r="A23">
        <f t="shared" ref="A23:A32" si="0">J10</f>
        <v>352</v>
      </c>
      <c r="B23">
        <f t="shared" ref="B23:B32" si="1">H10</f>
        <v>820</v>
      </c>
      <c r="C23">
        <f t="shared" ref="C23:C32" si="2">D10</f>
        <v>1225</v>
      </c>
      <c r="D23" s="751">
        <f>B10</f>
        <v>1752</v>
      </c>
      <c r="E23">
        <f>N10</f>
        <v>2010</v>
      </c>
      <c r="G23" s="1"/>
      <c r="K23" s="1"/>
      <c r="M23" s="1"/>
    </row>
    <row r="24" spans="1:14" ht="15">
      <c r="A24">
        <f t="shared" si="0"/>
        <v>354</v>
      </c>
      <c r="B24">
        <f t="shared" si="1"/>
        <v>754</v>
      </c>
      <c r="C24">
        <f t="shared" si="2"/>
        <v>1395</v>
      </c>
      <c r="D24" s="751">
        <f>B11</f>
        <v>1898</v>
      </c>
      <c r="E24">
        <f t="shared" ref="E24:E32" si="3">N11</f>
        <v>2011</v>
      </c>
      <c r="G24" s="1"/>
      <c r="I24" s="1"/>
      <c r="K24" s="1"/>
      <c r="M24" s="1"/>
    </row>
    <row r="25" spans="1:14" ht="15">
      <c r="A25">
        <f t="shared" si="0"/>
        <v>585</v>
      </c>
      <c r="B25">
        <f t="shared" si="1"/>
        <v>835</v>
      </c>
      <c r="C25">
        <f t="shared" si="2"/>
        <v>1479</v>
      </c>
      <c r="D25">
        <f t="shared" ref="D25:D32" si="4">B12</f>
        <v>2053</v>
      </c>
      <c r="E25">
        <f t="shared" si="3"/>
        <v>2012</v>
      </c>
      <c r="G25" s="1"/>
      <c r="I25" s="1"/>
      <c r="K25" s="1"/>
      <c r="M25" s="1"/>
    </row>
    <row r="26" spans="1:14" ht="15">
      <c r="A26">
        <f t="shared" si="0"/>
        <v>509</v>
      </c>
      <c r="B26">
        <f t="shared" si="1"/>
        <v>817</v>
      </c>
      <c r="C26">
        <f t="shared" si="2"/>
        <v>1547</v>
      </c>
      <c r="D26">
        <f t="shared" si="4"/>
        <v>2072</v>
      </c>
      <c r="E26">
        <f t="shared" si="3"/>
        <v>2013</v>
      </c>
    </row>
    <row r="27" spans="1:14" ht="15">
      <c r="A27">
        <f t="shared" si="0"/>
        <v>512</v>
      </c>
      <c r="B27">
        <f t="shared" si="1"/>
        <v>803</v>
      </c>
      <c r="C27">
        <f t="shared" si="2"/>
        <v>1598</v>
      </c>
      <c r="D27">
        <f t="shared" si="4"/>
        <v>2076</v>
      </c>
      <c r="E27">
        <f t="shared" si="3"/>
        <v>2014</v>
      </c>
    </row>
    <row r="28" spans="1:14" ht="15">
      <c r="A28">
        <f t="shared" si="0"/>
        <v>500</v>
      </c>
      <c r="B28">
        <f t="shared" si="1"/>
        <v>807</v>
      </c>
      <c r="C28">
        <f t="shared" si="2"/>
        <v>1655</v>
      </c>
      <c r="D28">
        <f t="shared" si="4"/>
        <v>2069</v>
      </c>
      <c r="E28">
        <f t="shared" si="3"/>
        <v>2015</v>
      </c>
    </row>
    <row r="29" spans="1:14" ht="15">
      <c r="A29">
        <f t="shared" si="0"/>
        <v>421</v>
      </c>
      <c r="B29">
        <f t="shared" si="1"/>
        <v>730</v>
      </c>
      <c r="C29">
        <f t="shared" si="2"/>
        <v>1733</v>
      </c>
      <c r="D29">
        <f t="shared" si="4"/>
        <v>2097</v>
      </c>
      <c r="E29">
        <f t="shared" si="3"/>
        <v>2016</v>
      </c>
    </row>
    <row r="30" spans="1:14" ht="15">
      <c r="A30">
        <f t="shared" si="0"/>
        <v>420</v>
      </c>
      <c r="B30">
        <f t="shared" si="1"/>
        <v>786</v>
      </c>
      <c r="C30">
        <f t="shared" si="2"/>
        <v>1537</v>
      </c>
      <c r="D30">
        <f t="shared" si="4"/>
        <v>2181</v>
      </c>
      <c r="E30">
        <f t="shared" si="3"/>
        <v>2017</v>
      </c>
    </row>
    <row r="31" spans="1:14" ht="15">
      <c r="A31">
        <f t="shared" si="0"/>
        <v>383</v>
      </c>
      <c r="B31">
        <f t="shared" si="1"/>
        <v>799</v>
      </c>
      <c r="C31">
        <f t="shared" si="2"/>
        <v>1574</v>
      </c>
      <c r="D31">
        <f t="shared" si="4"/>
        <v>2184</v>
      </c>
      <c r="E31">
        <f t="shared" si="3"/>
        <v>2018</v>
      </c>
    </row>
    <row r="32" spans="1:14" ht="15">
      <c r="A32">
        <f t="shared" si="0"/>
        <v>718</v>
      </c>
      <c r="B32">
        <f t="shared" si="1"/>
        <v>1115</v>
      </c>
      <c r="C32">
        <f t="shared" si="2"/>
        <v>1544</v>
      </c>
      <c r="D32">
        <f t="shared" si="4"/>
        <v>2077</v>
      </c>
      <c r="E32">
        <f t="shared" si="3"/>
        <v>2019</v>
      </c>
    </row>
  </sheetData>
  <mergeCells count="13">
    <mergeCell ref="A1:N1"/>
    <mergeCell ref="J7:K7"/>
    <mergeCell ref="L7:M7"/>
    <mergeCell ref="H6:M6"/>
    <mergeCell ref="B6:G6"/>
    <mergeCell ref="A6:A8"/>
    <mergeCell ref="A2:N2"/>
    <mergeCell ref="A3:N3"/>
    <mergeCell ref="N6:N8"/>
    <mergeCell ref="B7:C7"/>
    <mergeCell ref="D7:E7"/>
    <mergeCell ref="F7:G7"/>
    <mergeCell ref="H7:I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O23"/>
  <sheetViews>
    <sheetView rightToLeft="1" view="pageBreakPreview" topLeftCell="A10" zoomScale="90" zoomScaleNormal="75" zoomScaleSheetLayoutView="90" workbookViewId="0">
      <selection activeCell="M18" sqref="M18"/>
    </sheetView>
  </sheetViews>
  <sheetFormatPr defaultColWidth="9.140625" defaultRowHeight="12.75"/>
  <cols>
    <col min="1" max="1" width="23.140625" style="1" customWidth="1"/>
    <col min="2" max="2" width="12.140625" style="1" customWidth="1"/>
    <col min="3" max="3" width="11.5703125" style="1" customWidth="1"/>
    <col min="4" max="4" width="10.42578125" style="1" customWidth="1"/>
    <col min="5" max="5" width="6.85546875" style="1" customWidth="1"/>
    <col min="6" max="6" width="10.42578125" style="1" customWidth="1"/>
    <col min="7" max="7" width="10" style="1" customWidth="1"/>
    <col min="8" max="8" width="8.42578125" style="1" customWidth="1"/>
    <col min="9" max="9" width="10" style="1" customWidth="1"/>
    <col min="10" max="10" width="10.42578125" style="1" customWidth="1"/>
    <col min="11" max="11" width="9.42578125" style="1" customWidth="1"/>
    <col min="12" max="12" width="7.140625" style="1" customWidth="1"/>
    <col min="13" max="13" width="8.42578125" style="1" customWidth="1"/>
    <col min="14" max="14" width="10" style="1" customWidth="1"/>
    <col min="15" max="15" width="27.85546875" style="1" customWidth="1"/>
    <col min="16" max="16384" width="9.140625" style="1"/>
  </cols>
  <sheetData>
    <row r="1" spans="1:15" s="2" customFormat="1" ht="18.75" customHeight="1">
      <c r="A1" s="1120" t="s">
        <v>368</v>
      </c>
      <c r="B1" s="1120"/>
      <c r="C1" s="1120"/>
      <c r="D1" s="1120"/>
      <c r="E1" s="1120"/>
      <c r="F1" s="1120"/>
      <c r="G1" s="1120"/>
      <c r="H1" s="1120"/>
      <c r="I1" s="1120"/>
      <c r="J1" s="1120"/>
      <c r="K1" s="1120"/>
      <c r="L1" s="1120"/>
      <c r="M1" s="1120"/>
      <c r="N1" s="1120"/>
      <c r="O1" s="1120"/>
    </row>
    <row r="2" spans="1:15" s="2" customFormat="1" ht="15.75">
      <c r="A2" s="1121" t="s">
        <v>690</v>
      </c>
      <c r="B2" s="1121"/>
      <c r="C2" s="1121"/>
      <c r="D2" s="1121"/>
      <c r="E2" s="1121"/>
      <c r="F2" s="1121"/>
      <c r="G2" s="1121"/>
      <c r="H2" s="1121"/>
      <c r="I2" s="1121"/>
      <c r="J2" s="1121"/>
      <c r="K2" s="1121"/>
      <c r="L2" s="1121"/>
      <c r="M2" s="1121"/>
      <c r="N2" s="1121"/>
      <c r="O2" s="1121"/>
    </row>
    <row r="3" spans="1:15" s="2" customFormat="1" ht="15" customHeight="1">
      <c r="A3" s="1122">
        <v>2019</v>
      </c>
      <c r="B3" s="1122"/>
      <c r="C3" s="1122"/>
      <c r="D3" s="1122"/>
      <c r="E3" s="1122"/>
      <c r="F3" s="1122"/>
      <c r="G3" s="1122"/>
      <c r="H3" s="1122"/>
      <c r="I3" s="1122"/>
      <c r="J3" s="1122"/>
      <c r="K3" s="1122"/>
      <c r="L3" s="1122"/>
      <c r="M3" s="1122"/>
      <c r="N3" s="1122"/>
      <c r="O3" s="1122"/>
    </row>
    <row r="4" spans="1:15" s="2" customFormat="1" ht="15.75">
      <c r="A4" s="1123" t="s">
        <v>53</v>
      </c>
      <c r="B4" s="1123"/>
      <c r="C4" s="1123"/>
      <c r="D4" s="1123"/>
      <c r="E4" s="1123"/>
      <c r="F4" s="1123"/>
      <c r="G4" s="1123"/>
      <c r="H4" s="1123"/>
      <c r="I4" s="1123"/>
      <c r="J4" s="1123"/>
      <c r="K4" s="1123"/>
      <c r="L4" s="1123"/>
      <c r="M4" s="1123"/>
      <c r="N4" s="1123"/>
      <c r="O4" s="1123"/>
    </row>
    <row r="5" spans="1:15" s="2" customFormat="1" ht="15.75">
      <c r="A5" s="376"/>
      <c r="B5" s="376"/>
      <c r="C5" s="376"/>
      <c r="D5" s="376"/>
      <c r="E5" s="376"/>
      <c r="F5" s="376"/>
      <c r="G5" s="376"/>
      <c r="H5" s="376"/>
      <c r="I5" s="376"/>
      <c r="J5" s="376"/>
      <c r="K5" s="376"/>
      <c r="L5" s="376"/>
      <c r="M5" s="376"/>
      <c r="N5" s="376"/>
      <c r="O5" s="376"/>
    </row>
    <row r="6" spans="1:15" ht="15.75">
      <c r="A6" s="373" t="s">
        <v>416</v>
      </c>
      <c r="B6" s="377"/>
      <c r="C6" s="377"/>
      <c r="D6" s="377"/>
      <c r="E6" s="377"/>
      <c r="F6" s="377"/>
      <c r="G6" s="377"/>
      <c r="H6" s="377"/>
      <c r="I6" s="377"/>
      <c r="J6" s="377"/>
      <c r="K6" s="377"/>
      <c r="L6" s="377"/>
      <c r="M6" s="377"/>
      <c r="N6" s="377"/>
      <c r="O6" s="375" t="s">
        <v>417</v>
      </c>
    </row>
    <row r="7" spans="1:15" ht="30" customHeight="1" thickBot="1">
      <c r="A7" s="1099" t="s">
        <v>243</v>
      </c>
      <c r="B7" s="1118" t="s">
        <v>242</v>
      </c>
      <c r="C7" s="1118"/>
      <c r="D7" s="1118"/>
      <c r="E7" s="1118"/>
      <c r="F7" s="1118"/>
      <c r="G7" s="1118"/>
      <c r="H7" s="1118"/>
      <c r="I7" s="1118"/>
      <c r="J7" s="1118"/>
      <c r="K7" s="1118"/>
      <c r="L7" s="1118"/>
      <c r="M7" s="1118"/>
      <c r="N7" s="1118"/>
      <c r="O7" s="1106" t="s">
        <v>241</v>
      </c>
    </row>
    <row r="8" spans="1:15" ht="83.25" customHeight="1" thickBot="1">
      <c r="A8" s="1117"/>
      <c r="B8" s="329" t="s">
        <v>736</v>
      </c>
      <c r="C8" s="329" t="s">
        <v>238</v>
      </c>
      <c r="D8" s="329" t="s">
        <v>237</v>
      </c>
      <c r="E8" s="329" t="s">
        <v>236</v>
      </c>
      <c r="F8" s="330" t="s">
        <v>235</v>
      </c>
      <c r="G8" s="330" t="s">
        <v>589</v>
      </c>
      <c r="H8" s="330" t="s">
        <v>737</v>
      </c>
      <c r="I8" s="330" t="s">
        <v>738</v>
      </c>
      <c r="J8" s="330" t="s">
        <v>233</v>
      </c>
      <c r="K8" s="330" t="s">
        <v>232</v>
      </c>
      <c r="L8" s="331" t="s">
        <v>17</v>
      </c>
      <c r="M8" s="864" t="s">
        <v>1273</v>
      </c>
      <c r="N8" s="329" t="s">
        <v>240</v>
      </c>
      <c r="O8" s="1119"/>
    </row>
    <row r="9" spans="1:15" ht="69" customHeight="1" thickBot="1">
      <c r="A9" s="1100"/>
      <c r="B9" s="589" t="s">
        <v>704</v>
      </c>
      <c r="C9" s="590" t="s">
        <v>705</v>
      </c>
      <c r="D9" s="590" t="s">
        <v>706</v>
      </c>
      <c r="E9" s="590" t="s">
        <v>707</v>
      </c>
      <c r="F9" s="581" t="s">
        <v>712</v>
      </c>
      <c r="G9" s="581" t="s">
        <v>708</v>
      </c>
      <c r="H9" s="581" t="s">
        <v>709</v>
      </c>
      <c r="I9" s="581" t="s">
        <v>710</v>
      </c>
      <c r="J9" s="581" t="s">
        <v>711</v>
      </c>
      <c r="K9" s="581" t="s">
        <v>231</v>
      </c>
      <c r="L9" s="591" t="s">
        <v>56</v>
      </c>
      <c r="M9" s="581" t="s">
        <v>230</v>
      </c>
      <c r="N9" s="442" t="s">
        <v>239</v>
      </c>
      <c r="O9" s="1107"/>
    </row>
    <row r="10" spans="1:15" ht="31.5">
      <c r="A10" s="865" t="s">
        <v>748</v>
      </c>
      <c r="B10" s="867">
        <v>1</v>
      </c>
      <c r="C10" s="867">
        <v>2</v>
      </c>
      <c r="D10" s="867">
        <v>21</v>
      </c>
      <c r="E10" s="867">
        <v>23</v>
      </c>
      <c r="F10" s="867">
        <v>1</v>
      </c>
      <c r="G10" s="867">
        <v>0</v>
      </c>
      <c r="H10" s="867">
        <v>0</v>
      </c>
      <c r="I10" s="867">
        <v>0</v>
      </c>
      <c r="J10" s="867">
        <v>0</v>
      </c>
      <c r="K10" s="868">
        <v>0</v>
      </c>
      <c r="L10" s="869">
        <f>SUM(Table_Default__XLS_TAB_38_1[[#This Row],[LEGISLATORS_CNT]:[NOT_KNOWN_CNT]])</f>
        <v>48</v>
      </c>
      <c r="M10" s="867">
        <v>71</v>
      </c>
      <c r="N10" s="869">
        <f>Table_Default__XLS_TAB_38_1[[#This Row],[TOTAL]]+Table_Default__XLS_TAB_38_1[[#This Row],[NO_OCCUP]]</f>
        <v>119</v>
      </c>
      <c r="O10" s="726" t="s">
        <v>1245</v>
      </c>
    </row>
    <row r="11" spans="1:15" ht="21.95" customHeight="1">
      <c r="A11" s="862" t="s">
        <v>238</v>
      </c>
      <c r="B11" s="282">
        <v>1</v>
      </c>
      <c r="C11" s="282">
        <v>3</v>
      </c>
      <c r="D11" s="282">
        <v>5</v>
      </c>
      <c r="E11" s="282">
        <v>4</v>
      </c>
      <c r="F11" s="282">
        <v>0</v>
      </c>
      <c r="G11" s="282">
        <v>0</v>
      </c>
      <c r="H11" s="282">
        <v>0</v>
      </c>
      <c r="I11" s="282">
        <v>0</v>
      </c>
      <c r="J11" s="282">
        <v>0</v>
      </c>
      <c r="K11" s="281">
        <v>0</v>
      </c>
      <c r="L11" s="870">
        <f>SUM(Table_Default__XLS_TAB_38_1[[#This Row],[LEGISLATORS_CNT]:[NOT_KNOWN_CNT]])</f>
        <v>13</v>
      </c>
      <c r="M11" s="282">
        <v>18</v>
      </c>
      <c r="N11" s="870">
        <f>Table_Default__XLS_TAB_38_1[[#This Row],[TOTAL]]+Table_Default__XLS_TAB_38_1[[#This Row],[NO_OCCUP]]</f>
        <v>31</v>
      </c>
      <c r="O11" s="727" t="s">
        <v>705</v>
      </c>
    </row>
    <row r="12" spans="1:15" ht="31.5">
      <c r="A12" s="862" t="s">
        <v>237</v>
      </c>
      <c r="B12" s="282">
        <v>1</v>
      </c>
      <c r="C12" s="282">
        <v>14</v>
      </c>
      <c r="D12" s="282">
        <v>40</v>
      </c>
      <c r="E12" s="282">
        <v>44</v>
      </c>
      <c r="F12" s="282">
        <v>0</v>
      </c>
      <c r="G12" s="282">
        <v>0</v>
      </c>
      <c r="H12" s="282">
        <v>0</v>
      </c>
      <c r="I12" s="282">
        <v>0</v>
      </c>
      <c r="J12" s="282">
        <v>0</v>
      </c>
      <c r="K12" s="281">
        <v>0</v>
      </c>
      <c r="L12" s="870">
        <f>SUM(Table_Default__XLS_TAB_38_1[[#This Row],[LEGISLATORS_CNT]:[NOT_KNOWN_CNT]])</f>
        <v>99</v>
      </c>
      <c r="M12" s="282">
        <v>93</v>
      </c>
      <c r="N12" s="870">
        <f>Table_Default__XLS_TAB_38_1[[#This Row],[TOTAL]]+Table_Default__XLS_TAB_38_1[[#This Row],[NO_OCCUP]]</f>
        <v>192</v>
      </c>
      <c r="O12" s="728" t="s">
        <v>1246</v>
      </c>
    </row>
    <row r="13" spans="1:15" ht="21.95" customHeight="1">
      <c r="A13" s="862" t="s">
        <v>236</v>
      </c>
      <c r="B13" s="282">
        <v>0</v>
      </c>
      <c r="C13" s="282">
        <v>25</v>
      </c>
      <c r="D13" s="282">
        <v>37</v>
      </c>
      <c r="E13" s="282">
        <v>102</v>
      </c>
      <c r="F13" s="282">
        <v>4</v>
      </c>
      <c r="G13" s="282">
        <v>0</v>
      </c>
      <c r="H13" s="282">
        <v>0</v>
      </c>
      <c r="I13" s="282">
        <v>0</v>
      </c>
      <c r="J13" s="282">
        <v>1</v>
      </c>
      <c r="K13" s="281">
        <v>0</v>
      </c>
      <c r="L13" s="870">
        <f>SUM(Table_Default__XLS_TAB_38_1[[#This Row],[LEGISLATORS_CNT]:[NOT_KNOWN_CNT]])</f>
        <v>169</v>
      </c>
      <c r="M13" s="282">
        <v>396</v>
      </c>
      <c r="N13" s="870">
        <f>Table_Default__XLS_TAB_38_1[[#This Row],[TOTAL]]+Table_Default__XLS_TAB_38_1[[#This Row],[NO_OCCUP]]</f>
        <v>565</v>
      </c>
      <c r="O13" s="727" t="s">
        <v>707</v>
      </c>
    </row>
    <row r="14" spans="1:15" ht="47.25">
      <c r="A14" s="862" t="s">
        <v>235</v>
      </c>
      <c r="B14" s="282">
        <v>0</v>
      </c>
      <c r="C14" s="282">
        <v>2</v>
      </c>
      <c r="D14" s="282">
        <v>7</v>
      </c>
      <c r="E14" s="282">
        <v>20</v>
      </c>
      <c r="F14" s="282">
        <v>2</v>
      </c>
      <c r="G14" s="282">
        <v>0</v>
      </c>
      <c r="H14" s="282">
        <v>0</v>
      </c>
      <c r="I14" s="282">
        <v>0</v>
      </c>
      <c r="J14" s="282">
        <v>0</v>
      </c>
      <c r="K14" s="281">
        <v>0</v>
      </c>
      <c r="L14" s="870">
        <f>SUM(Table_Default__XLS_TAB_38_1[[#This Row],[LEGISLATORS_CNT]:[NOT_KNOWN_CNT]])</f>
        <v>31</v>
      </c>
      <c r="M14" s="282">
        <v>62</v>
      </c>
      <c r="N14" s="870">
        <f>Table_Default__XLS_TAB_38_1[[#This Row],[TOTAL]]+Table_Default__XLS_TAB_38_1[[#This Row],[NO_OCCUP]]</f>
        <v>93</v>
      </c>
      <c r="O14" s="728" t="s">
        <v>1247</v>
      </c>
    </row>
    <row r="15" spans="1:15" ht="31.5">
      <c r="A15" s="862" t="s">
        <v>1244</v>
      </c>
      <c r="B15" s="282">
        <v>0</v>
      </c>
      <c r="C15" s="282">
        <v>0</v>
      </c>
      <c r="D15" s="282">
        <v>0</v>
      </c>
      <c r="E15" s="282">
        <v>0</v>
      </c>
      <c r="F15" s="282">
        <v>0</v>
      </c>
      <c r="G15" s="282">
        <v>0</v>
      </c>
      <c r="H15" s="282">
        <v>0</v>
      </c>
      <c r="I15" s="282">
        <v>0</v>
      </c>
      <c r="J15" s="282">
        <v>0</v>
      </c>
      <c r="K15" s="281">
        <v>0</v>
      </c>
      <c r="L15" s="870">
        <f>SUM(Table_Default__XLS_TAB_38_1[[#This Row],[LEGISLATORS_CNT]:[NOT_KNOWN_CNT]])</f>
        <v>0</v>
      </c>
      <c r="M15" s="282">
        <v>0</v>
      </c>
      <c r="N15" s="870">
        <f>Table_Default__XLS_TAB_38_1[[#This Row],[TOTAL]]+Table_Default__XLS_TAB_38_1[[#This Row],[NO_OCCUP]]</f>
        <v>0</v>
      </c>
      <c r="O15" s="727" t="s">
        <v>1248</v>
      </c>
    </row>
    <row r="16" spans="1:15" ht="31.5">
      <c r="A16" s="862" t="s">
        <v>749</v>
      </c>
      <c r="B16" s="282">
        <v>0</v>
      </c>
      <c r="C16" s="282">
        <v>0</v>
      </c>
      <c r="D16" s="282">
        <v>0</v>
      </c>
      <c r="E16" s="282">
        <v>0</v>
      </c>
      <c r="F16" s="282">
        <v>0</v>
      </c>
      <c r="G16" s="282">
        <v>0</v>
      </c>
      <c r="H16" s="282">
        <v>0</v>
      </c>
      <c r="I16" s="282">
        <v>0</v>
      </c>
      <c r="J16" s="282">
        <v>0</v>
      </c>
      <c r="K16" s="281">
        <v>0</v>
      </c>
      <c r="L16" s="870">
        <f>SUM(Table_Default__XLS_TAB_38_1[[#This Row],[LEGISLATORS_CNT]:[NOT_KNOWN_CNT]])</f>
        <v>0</v>
      </c>
      <c r="M16" s="282">
        <v>0</v>
      </c>
      <c r="N16" s="870">
        <f>Table_Default__XLS_TAB_38_1[[#This Row],[TOTAL]]+Table_Default__XLS_TAB_38_1[[#This Row],[NO_OCCUP]]</f>
        <v>0</v>
      </c>
      <c r="O16" s="728" t="s">
        <v>1250</v>
      </c>
    </row>
    <row r="17" spans="1:15" ht="31.5">
      <c r="A17" s="862" t="s">
        <v>750</v>
      </c>
      <c r="B17" s="282">
        <v>1</v>
      </c>
      <c r="C17" s="282">
        <v>0</v>
      </c>
      <c r="D17" s="282">
        <v>0</v>
      </c>
      <c r="E17" s="282">
        <v>2</v>
      </c>
      <c r="F17" s="282">
        <v>0</v>
      </c>
      <c r="G17" s="282">
        <v>0</v>
      </c>
      <c r="H17" s="282">
        <v>0</v>
      </c>
      <c r="I17" s="282">
        <v>0</v>
      </c>
      <c r="J17" s="282">
        <v>0</v>
      </c>
      <c r="K17" s="281">
        <v>0</v>
      </c>
      <c r="L17" s="870">
        <f>SUM(Table_Default__XLS_TAB_38_1[[#This Row],[LEGISLATORS_CNT]:[NOT_KNOWN_CNT]])</f>
        <v>3</v>
      </c>
      <c r="M17" s="282">
        <v>3</v>
      </c>
      <c r="N17" s="870">
        <f>Table_Default__XLS_TAB_38_1[[#This Row],[TOTAL]]+Table_Default__XLS_TAB_38_1[[#This Row],[NO_OCCUP]]</f>
        <v>6</v>
      </c>
      <c r="O17" s="727" t="s">
        <v>1251</v>
      </c>
    </row>
    <row r="18" spans="1:15" ht="21.95" customHeight="1">
      <c r="A18" s="862" t="s">
        <v>233</v>
      </c>
      <c r="B18" s="282">
        <v>0</v>
      </c>
      <c r="C18" s="282">
        <v>2</v>
      </c>
      <c r="D18" s="282">
        <v>0</v>
      </c>
      <c r="E18" s="282">
        <v>14</v>
      </c>
      <c r="F18" s="282">
        <v>0</v>
      </c>
      <c r="G18" s="282">
        <v>0</v>
      </c>
      <c r="H18" s="282">
        <v>0</v>
      </c>
      <c r="I18" s="282">
        <v>0</v>
      </c>
      <c r="J18" s="282">
        <v>0</v>
      </c>
      <c r="K18" s="281">
        <v>0</v>
      </c>
      <c r="L18" s="870">
        <f>SUM(Table_Default__XLS_TAB_38_1[[#This Row],[LEGISLATORS_CNT]:[NOT_KNOWN_CNT]])</f>
        <v>16</v>
      </c>
      <c r="M18" s="282">
        <v>24</v>
      </c>
      <c r="N18" s="870">
        <f>Table_Default__XLS_TAB_38_1[[#This Row],[TOTAL]]+Table_Default__XLS_TAB_38_1[[#This Row],[NO_OCCUP]]</f>
        <v>40</v>
      </c>
      <c r="O18" s="728" t="s">
        <v>711</v>
      </c>
    </row>
    <row r="19" spans="1:15" ht="31.5">
      <c r="A19" s="866" t="s">
        <v>232</v>
      </c>
      <c r="B19" s="291">
        <v>0</v>
      </c>
      <c r="C19" s="291">
        <v>0</v>
      </c>
      <c r="D19" s="291">
        <v>0</v>
      </c>
      <c r="E19" s="291">
        <v>0</v>
      </c>
      <c r="F19" s="291">
        <v>0</v>
      </c>
      <c r="G19" s="291">
        <v>0</v>
      </c>
      <c r="H19" s="291">
        <v>0</v>
      </c>
      <c r="I19" s="291">
        <v>0</v>
      </c>
      <c r="J19" s="291">
        <v>0</v>
      </c>
      <c r="K19" s="871">
        <v>0</v>
      </c>
      <c r="L19" s="870">
        <f>SUM(Table_Default__XLS_TAB_38_1[[#This Row],[LEGISLATORS_CNT]:[NOT_KNOWN_CNT]])</f>
        <v>0</v>
      </c>
      <c r="M19" s="291">
        <v>0</v>
      </c>
      <c r="N19" s="121">
        <f>Table_Default__XLS_TAB_38_1[[#This Row],[TOTAL]]+Table_Default__XLS_TAB_38_1[[#This Row],[NO_OCCUP]]</f>
        <v>0</v>
      </c>
      <c r="O19" s="727" t="s">
        <v>231</v>
      </c>
    </row>
    <row r="20" spans="1:15" ht="21.75" customHeight="1">
      <c r="A20" s="866" t="s">
        <v>17</v>
      </c>
      <c r="B20" s="121">
        <f>SUM(B10:B19)</f>
        <v>4</v>
      </c>
      <c r="C20" s="121">
        <f t="shared" ref="C20:K20" si="0">SUM(C10:C19)</f>
        <v>48</v>
      </c>
      <c r="D20" s="121">
        <f t="shared" si="0"/>
        <v>110</v>
      </c>
      <c r="E20" s="121">
        <f t="shared" si="0"/>
        <v>209</v>
      </c>
      <c r="F20" s="121">
        <f t="shared" si="0"/>
        <v>7</v>
      </c>
      <c r="G20" s="121">
        <f t="shared" si="0"/>
        <v>0</v>
      </c>
      <c r="H20" s="121">
        <f t="shared" si="0"/>
        <v>0</v>
      </c>
      <c r="I20" s="121">
        <f t="shared" si="0"/>
        <v>0</v>
      </c>
      <c r="J20" s="121">
        <f t="shared" si="0"/>
        <v>1</v>
      </c>
      <c r="K20" s="121">
        <f t="shared" si="0"/>
        <v>0</v>
      </c>
      <c r="L20" s="872">
        <f>SUM(L10:L19)</f>
        <v>379</v>
      </c>
      <c r="M20" s="121">
        <f>SUM(M10:M19)</f>
        <v>667</v>
      </c>
      <c r="N20" s="92">
        <f>SUM(N10:N19)</f>
        <v>1046</v>
      </c>
      <c r="O20" s="298" t="s">
        <v>56</v>
      </c>
    </row>
    <row r="21" spans="1:15" ht="21.95" customHeight="1">
      <c r="A21" s="862" t="s">
        <v>1271</v>
      </c>
      <c r="B21" s="282">
        <v>0</v>
      </c>
      <c r="C21" s="282">
        <v>3</v>
      </c>
      <c r="D21" s="282">
        <v>2</v>
      </c>
      <c r="E21" s="282">
        <v>9</v>
      </c>
      <c r="F21" s="282">
        <v>2</v>
      </c>
      <c r="G21" s="282">
        <v>0</v>
      </c>
      <c r="H21" s="282">
        <v>0</v>
      </c>
      <c r="I21" s="282">
        <v>0</v>
      </c>
      <c r="J21" s="282">
        <v>0</v>
      </c>
      <c r="K21" s="282">
        <v>0</v>
      </c>
      <c r="L21" s="870">
        <v>16</v>
      </c>
      <c r="M21" s="282">
        <v>53</v>
      </c>
      <c r="N21" s="409">
        <v>69</v>
      </c>
      <c r="O21" s="863" t="s">
        <v>1272</v>
      </c>
    </row>
    <row r="22" spans="1:15" ht="27" customHeight="1">
      <c r="A22" s="98" t="s">
        <v>229</v>
      </c>
      <c r="B22" s="121">
        <f>B20+B21</f>
        <v>4</v>
      </c>
      <c r="C22" s="121">
        <f t="shared" ref="C22:I22" si="1">C20+C21</f>
        <v>51</v>
      </c>
      <c r="D22" s="121">
        <f t="shared" si="1"/>
        <v>112</v>
      </c>
      <c r="E22" s="121">
        <f t="shared" si="1"/>
        <v>218</v>
      </c>
      <c r="F22" s="121">
        <f t="shared" si="1"/>
        <v>9</v>
      </c>
      <c r="G22" s="121">
        <f t="shared" si="1"/>
        <v>0</v>
      </c>
      <c r="H22" s="121">
        <f t="shared" si="1"/>
        <v>0</v>
      </c>
      <c r="I22" s="121">
        <f t="shared" si="1"/>
        <v>0</v>
      </c>
      <c r="J22" s="121">
        <f>J20+J21</f>
        <v>1</v>
      </c>
      <c r="K22" s="121">
        <f>K20+K21</f>
        <v>0</v>
      </c>
      <c r="L22" s="121">
        <f>L20+L21</f>
        <v>395</v>
      </c>
      <c r="M22" s="121">
        <f>M20+M21</f>
        <v>720</v>
      </c>
      <c r="N22" s="92">
        <f>N20+N21</f>
        <v>1115</v>
      </c>
      <c r="O22" s="99" t="s">
        <v>228</v>
      </c>
    </row>
    <row r="23" spans="1:15" s="2" customFormat="1" ht="15">
      <c r="A23" s="875" t="s">
        <v>227</v>
      </c>
      <c r="O23" s="874" t="s">
        <v>1276</v>
      </c>
    </row>
  </sheetData>
  <mergeCells count="7">
    <mergeCell ref="A7:A9"/>
    <mergeCell ref="B7:N7"/>
    <mergeCell ref="O7:O9"/>
    <mergeCell ref="A1:O1"/>
    <mergeCell ref="A2:O2"/>
    <mergeCell ref="A3:O3"/>
    <mergeCell ref="A4:O4"/>
  </mergeCells>
  <printOptions horizontalCentered="1" verticalCentered="1"/>
  <pageMargins left="0" right="0.17" top="0" bottom="0" header="0" footer="0"/>
  <pageSetup paperSize="9" scale="75" orientation="landscape" r:id="rId1"/>
  <headerFooter alignWithMargins="0"/>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O23"/>
  <sheetViews>
    <sheetView rightToLeft="1" view="pageBreakPreview" topLeftCell="A9" zoomScale="85" zoomScaleNormal="75" zoomScaleSheetLayoutView="85" workbookViewId="0">
      <selection activeCell="M18" sqref="M18"/>
    </sheetView>
  </sheetViews>
  <sheetFormatPr defaultColWidth="9.140625" defaultRowHeight="12.75"/>
  <cols>
    <col min="1" max="1" width="23.140625" style="1" customWidth="1"/>
    <col min="2" max="2" width="12.140625" style="1" customWidth="1"/>
    <col min="3" max="3" width="11.5703125" style="1" customWidth="1"/>
    <col min="4" max="4" width="10.42578125" style="1" customWidth="1"/>
    <col min="5" max="5" width="6.85546875" style="1" customWidth="1"/>
    <col min="6" max="6" width="10.42578125" style="1" customWidth="1"/>
    <col min="7" max="7" width="10" style="1" customWidth="1"/>
    <col min="8" max="8" width="8.42578125" style="1" customWidth="1"/>
    <col min="9" max="9" width="10" style="1" customWidth="1"/>
    <col min="10" max="10" width="10.5703125" style="1" customWidth="1"/>
    <col min="11" max="11" width="9.42578125" style="1" customWidth="1"/>
    <col min="12" max="12" width="7.140625" style="1" customWidth="1"/>
    <col min="13" max="13" width="8.42578125" style="1" customWidth="1"/>
    <col min="14" max="14" width="10" style="1" customWidth="1"/>
    <col min="15" max="15" width="27.85546875" style="1" customWidth="1"/>
    <col min="16" max="16384" width="9.140625" style="1"/>
  </cols>
  <sheetData>
    <row r="1" spans="1:15" s="2" customFormat="1" ht="18.75" customHeight="1">
      <c r="A1" s="1120" t="s">
        <v>368</v>
      </c>
      <c r="B1" s="1120"/>
      <c r="C1" s="1120"/>
      <c r="D1" s="1120"/>
      <c r="E1" s="1120"/>
      <c r="F1" s="1120"/>
      <c r="G1" s="1120"/>
      <c r="H1" s="1120"/>
      <c r="I1" s="1120"/>
      <c r="J1" s="1120"/>
      <c r="K1" s="1120"/>
      <c r="L1" s="1120"/>
      <c r="M1" s="1120"/>
      <c r="N1" s="1120"/>
      <c r="O1" s="1120"/>
    </row>
    <row r="2" spans="1:15" s="2" customFormat="1" ht="15.75">
      <c r="A2" s="1121" t="s">
        <v>690</v>
      </c>
      <c r="B2" s="1121"/>
      <c r="C2" s="1121"/>
      <c r="D2" s="1121"/>
      <c r="E2" s="1121"/>
      <c r="F2" s="1121"/>
      <c r="G2" s="1121"/>
      <c r="H2" s="1121"/>
      <c r="I2" s="1121"/>
      <c r="J2" s="1121"/>
      <c r="K2" s="1121"/>
      <c r="L2" s="1121"/>
      <c r="M2" s="1121"/>
      <c r="N2" s="1121"/>
      <c r="O2" s="1121"/>
    </row>
    <row r="3" spans="1:15" s="2" customFormat="1" ht="15" customHeight="1">
      <c r="A3" s="1122">
        <v>2019</v>
      </c>
      <c r="B3" s="1122"/>
      <c r="C3" s="1122"/>
      <c r="D3" s="1122"/>
      <c r="E3" s="1122"/>
      <c r="F3" s="1122"/>
      <c r="G3" s="1122"/>
      <c r="H3" s="1122"/>
      <c r="I3" s="1122"/>
      <c r="J3" s="1122"/>
      <c r="K3" s="1122"/>
      <c r="L3" s="1122"/>
      <c r="M3" s="1122"/>
      <c r="N3" s="1122"/>
      <c r="O3" s="1122"/>
    </row>
    <row r="4" spans="1:15" s="2" customFormat="1" ht="15.75">
      <c r="A4" s="1123" t="s">
        <v>52</v>
      </c>
      <c r="B4" s="1123"/>
      <c r="C4" s="1123"/>
      <c r="D4" s="1123"/>
      <c r="E4" s="1123"/>
      <c r="F4" s="1123"/>
      <c r="G4" s="1123"/>
      <c r="H4" s="1123"/>
      <c r="I4" s="1123"/>
      <c r="J4" s="1123"/>
      <c r="K4" s="1123"/>
      <c r="L4" s="1123"/>
      <c r="M4" s="1123"/>
      <c r="N4" s="1123"/>
      <c r="O4" s="1123"/>
    </row>
    <row r="5" spans="1:15" s="2" customFormat="1" ht="15.75">
      <c r="A5" s="376"/>
      <c r="B5" s="376"/>
      <c r="C5" s="376"/>
      <c r="D5" s="376"/>
      <c r="E5" s="376"/>
      <c r="F5" s="376"/>
      <c r="G5" s="376"/>
      <c r="H5" s="376"/>
      <c r="I5" s="376"/>
      <c r="J5" s="376"/>
      <c r="K5" s="376"/>
      <c r="L5" s="376"/>
      <c r="M5" s="376"/>
      <c r="N5" s="376"/>
      <c r="O5" s="376"/>
    </row>
    <row r="6" spans="1:15" ht="15.75">
      <c r="A6" s="373" t="s">
        <v>420</v>
      </c>
      <c r="B6" s="377"/>
      <c r="C6" s="377"/>
      <c r="D6" s="377"/>
      <c r="E6" s="377"/>
      <c r="F6" s="377"/>
      <c r="G6" s="377"/>
      <c r="H6" s="377"/>
      <c r="I6" s="377"/>
      <c r="J6" s="377"/>
      <c r="K6" s="377"/>
      <c r="L6" s="377"/>
      <c r="M6" s="377"/>
      <c r="N6" s="377"/>
      <c r="O6" s="375" t="s">
        <v>421</v>
      </c>
    </row>
    <row r="7" spans="1:15" ht="30" customHeight="1" thickBot="1">
      <c r="A7" s="1099" t="s">
        <v>243</v>
      </c>
      <c r="B7" s="1118" t="s">
        <v>242</v>
      </c>
      <c r="C7" s="1118"/>
      <c r="D7" s="1118"/>
      <c r="E7" s="1118"/>
      <c r="F7" s="1118"/>
      <c r="G7" s="1118"/>
      <c r="H7" s="1118"/>
      <c r="I7" s="1118"/>
      <c r="J7" s="1118"/>
      <c r="K7" s="1118"/>
      <c r="L7" s="1118"/>
      <c r="M7" s="1118"/>
      <c r="N7" s="1118"/>
      <c r="O7" s="1106" t="s">
        <v>241</v>
      </c>
    </row>
    <row r="8" spans="1:15" ht="84.75" customHeight="1" thickBot="1">
      <c r="A8" s="1117"/>
      <c r="B8" s="329" t="s">
        <v>736</v>
      </c>
      <c r="C8" s="329" t="s">
        <v>238</v>
      </c>
      <c r="D8" s="329" t="s">
        <v>237</v>
      </c>
      <c r="E8" s="329" t="s">
        <v>236</v>
      </c>
      <c r="F8" s="330" t="s">
        <v>235</v>
      </c>
      <c r="G8" s="330" t="s">
        <v>589</v>
      </c>
      <c r="H8" s="330" t="s">
        <v>737</v>
      </c>
      <c r="I8" s="330" t="s">
        <v>738</v>
      </c>
      <c r="J8" s="330" t="s">
        <v>233</v>
      </c>
      <c r="K8" s="330" t="s">
        <v>232</v>
      </c>
      <c r="L8" s="331" t="s">
        <v>17</v>
      </c>
      <c r="M8" s="864" t="s">
        <v>1273</v>
      </c>
      <c r="N8" s="329" t="s">
        <v>240</v>
      </c>
      <c r="O8" s="1119"/>
    </row>
    <row r="9" spans="1:15" ht="69" customHeight="1" thickBot="1">
      <c r="A9" s="1100"/>
      <c r="B9" s="589" t="s">
        <v>704</v>
      </c>
      <c r="C9" s="590" t="s">
        <v>705</v>
      </c>
      <c r="D9" s="590" t="s">
        <v>706</v>
      </c>
      <c r="E9" s="590" t="s">
        <v>707</v>
      </c>
      <c r="F9" s="581" t="s">
        <v>712</v>
      </c>
      <c r="G9" s="581" t="s">
        <v>708</v>
      </c>
      <c r="H9" s="581" t="s">
        <v>709</v>
      </c>
      <c r="I9" s="581" t="s">
        <v>710</v>
      </c>
      <c r="J9" s="581" t="s">
        <v>711</v>
      </c>
      <c r="K9" s="581" t="s">
        <v>231</v>
      </c>
      <c r="L9" s="591" t="s">
        <v>56</v>
      </c>
      <c r="M9" s="581" t="s">
        <v>230</v>
      </c>
      <c r="N9" s="442" t="s">
        <v>239</v>
      </c>
      <c r="O9" s="1107"/>
    </row>
    <row r="10" spans="1:15" ht="31.5">
      <c r="A10" s="865" t="s">
        <v>748</v>
      </c>
      <c r="B10" s="867">
        <v>1</v>
      </c>
      <c r="C10" s="867">
        <v>5</v>
      </c>
      <c r="D10" s="867">
        <v>7</v>
      </c>
      <c r="E10" s="867">
        <v>3</v>
      </c>
      <c r="F10" s="867">
        <v>2</v>
      </c>
      <c r="G10" s="867">
        <v>0</v>
      </c>
      <c r="H10" s="867">
        <v>0</v>
      </c>
      <c r="I10" s="867">
        <v>0</v>
      </c>
      <c r="J10" s="867">
        <v>0</v>
      </c>
      <c r="K10" s="868">
        <v>0</v>
      </c>
      <c r="L10" s="869">
        <f>SUM(Table_Default__XLS_TAB_38_2[[#This Row],[LEGISLATORS_CNT]:[NOT_KNOWN_CNT]])</f>
        <v>18</v>
      </c>
      <c r="M10" s="867">
        <v>23</v>
      </c>
      <c r="N10" s="869">
        <f>Table_Default__XLS_TAB_38_2[[#This Row],[TOTAL]]+Table_Default__XLS_TAB_38_2[[#This Row],[NO_OCCUP]]</f>
        <v>41</v>
      </c>
      <c r="O10" s="726" t="s">
        <v>1245</v>
      </c>
    </row>
    <row r="11" spans="1:15" ht="21.95" customHeight="1">
      <c r="A11" s="862" t="s">
        <v>238</v>
      </c>
      <c r="B11" s="282">
        <v>3</v>
      </c>
      <c r="C11" s="282">
        <v>18</v>
      </c>
      <c r="D11" s="282">
        <v>19</v>
      </c>
      <c r="E11" s="282">
        <v>10</v>
      </c>
      <c r="F11" s="282">
        <v>7</v>
      </c>
      <c r="G11" s="282">
        <v>0</v>
      </c>
      <c r="H11" s="282">
        <v>0</v>
      </c>
      <c r="I11" s="282">
        <v>0</v>
      </c>
      <c r="J11" s="282">
        <v>4</v>
      </c>
      <c r="K11" s="281">
        <v>0</v>
      </c>
      <c r="L11" s="870">
        <f>SUM(Table_Default__XLS_TAB_38_2[[#This Row],[LEGISLATORS_CNT]:[NOT_KNOWN_CNT]])</f>
        <v>61</v>
      </c>
      <c r="M11" s="282">
        <v>63</v>
      </c>
      <c r="N11" s="870">
        <f>Table_Default__XLS_TAB_38_2[[#This Row],[TOTAL]]+Table_Default__XLS_TAB_38_2[[#This Row],[NO_OCCUP]]</f>
        <v>124</v>
      </c>
      <c r="O11" s="727" t="s">
        <v>705</v>
      </c>
    </row>
    <row r="12" spans="1:15" ht="31.5">
      <c r="A12" s="862" t="s">
        <v>237</v>
      </c>
      <c r="B12" s="282">
        <v>2</v>
      </c>
      <c r="C12" s="282">
        <v>21</v>
      </c>
      <c r="D12" s="282">
        <v>23</v>
      </c>
      <c r="E12" s="282">
        <v>12</v>
      </c>
      <c r="F12" s="282">
        <v>7</v>
      </c>
      <c r="G12" s="282">
        <v>0</v>
      </c>
      <c r="H12" s="282">
        <v>0</v>
      </c>
      <c r="I12" s="282">
        <v>0</v>
      </c>
      <c r="J12" s="282">
        <v>2</v>
      </c>
      <c r="K12" s="281">
        <v>0</v>
      </c>
      <c r="L12" s="870">
        <f>SUM(Table_Default__XLS_TAB_38_2[[#This Row],[LEGISLATORS_CNT]:[NOT_KNOWN_CNT]])</f>
        <v>67</v>
      </c>
      <c r="M12" s="282">
        <v>56</v>
      </c>
      <c r="N12" s="870">
        <f>Table_Default__XLS_TAB_38_2[[#This Row],[TOTAL]]+Table_Default__XLS_TAB_38_2[[#This Row],[NO_OCCUP]]</f>
        <v>123</v>
      </c>
      <c r="O12" s="728" t="s">
        <v>1246</v>
      </c>
    </row>
    <row r="13" spans="1:15" ht="21.95" customHeight="1">
      <c r="A13" s="862" t="s">
        <v>236</v>
      </c>
      <c r="B13" s="282">
        <v>0</v>
      </c>
      <c r="C13" s="282">
        <v>14</v>
      </c>
      <c r="D13" s="282">
        <v>24</v>
      </c>
      <c r="E13" s="282">
        <v>41</v>
      </c>
      <c r="F13" s="282">
        <v>10</v>
      </c>
      <c r="G13" s="282">
        <v>0</v>
      </c>
      <c r="H13" s="282">
        <v>0</v>
      </c>
      <c r="I13" s="282">
        <v>0</v>
      </c>
      <c r="J13" s="282">
        <v>4</v>
      </c>
      <c r="K13" s="281">
        <v>0</v>
      </c>
      <c r="L13" s="870">
        <f>SUM(Table_Default__XLS_TAB_38_2[[#This Row],[LEGISLATORS_CNT]:[NOT_KNOWN_CNT]])</f>
        <v>93</v>
      </c>
      <c r="M13" s="282">
        <v>268</v>
      </c>
      <c r="N13" s="870">
        <f>Table_Default__XLS_TAB_38_2[[#This Row],[TOTAL]]+Table_Default__XLS_TAB_38_2[[#This Row],[NO_OCCUP]]</f>
        <v>361</v>
      </c>
      <c r="O13" s="727" t="s">
        <v>707</v>
      </c>
    </row>
    <row r="14" spans="1:15" ht="47.25">
      <c r="A14" s="862" t="s">
        <v>235</v>
      </c>
      <c r="B14" s="282">
        <v>0</v>
      </c>
      <c r="C14" s="282">
        <v>0</v>
      </c>
      <c r="D14" s="282">
        <v>1</v>
      </c>
      <c r="E14" s="282">
        <v>6</v>
      </c>
      <c r="F14" s="282">
        <v>4</v>
      </c>
      <c r="G14" s="282">
        <v>0</v>
      </c>
      <c r="H14" s="282">
        <v>0</v>
      </c>
      <c r="I14" s="282">
        <v>0</v>
      </c>
      <c r="J14" s="282">
        <v>0</v>
      </c>
      <c r="K14" s="281">
        <v>0</v>
      </c>
      <c r="L14" s="870">
        <f>SUM(Table_Default__XLS_TAB_38_2[[#This Row],[LEGISLATORS_CNT]:[NOT_KNOWN_CNT]])</f>
        <v>11</v>
      </c>
      <c r="M14" s="282">
        <v>23</v>
      </c>
      <c r="N14" s="870">
        <f>Table_Default__XLS_TAB_38_2[[#This Row],[TOTAL]]+Table_Default__XLS_TAB_38_2[[#This Row],[NO_OCCUP]]</f>
        <v>34</v>
      </c>
      <c r="O14" s="728" t="s">
        <v>1247</v>
      </c>
    </row>
    <row r="15" spans="1:15" ht="31.5">
      <c r="A15" s="862" t="s">
        <v>1244</v>
      </c>
      <c r="B15" s="282">
        <v>0</v>
      </c>
      <c r="C15" s="282">
        <v>0</v>
      </c>
      <c r="D15" s="282">
        <v>0</v>
      </c>
      <c r="E15" s="282">
        <v>0</v>
      </c>
      <c r="F15" s="282">
        <v>0</v>
      </c>
      <c r="G15" s="282">
        <v>0</v>
      </c>
      <c r="H15" s="282">
        <v>0</v>
      </c>
      <c r="I15" s="282">
        <v>0</v>
      </c>
      <c r="J15" s="282">
        <v>0</v>
      </c>
      <c r="K15" s="281">
        <v>0</v>
      </c>
      <c r="L15" s="870">
        <f>SUM(Table_Default__XLS_TAB_38_2[[#This Row],[LEGISLATORS_CNT]:[NOT_KNOWN_CNT]])</f>
        <v>0</v>
      </c>
      <c r="M15" s="282">
        <v>0</v>
      </c>
      <c r="N15" s="870">
        <f>Table_Default__XLS_TAB_38_2[[#This Row],[TOTAL]]+Table_Default__XLS_TAB_38_2[[#This Row],[NO_OCCUP]]</f>
        <v>0</v>
      </c>
      <c r="O15" s="727" t="s">
        <v>1248</v>
      </c>
    </row>
    <row r="16" spans="1:15" ht="31.5">
      <c r="A16" s="862" t="s">
        <v>749</v>
      </c>
      <c r="B16" s="282">
        <v>0</v>
      </c>
      <c r="C16" s="282">
        <v>1</v>
      </c>
      <c r="D16" s="282">
        <v>1</v>
      </c>
      <c r="E16" s="282">
        <v>0</v>
      </c>
      <c r="F16" s="282">
        <v>1</v>
      </c>
      <c r="G16" s="282">
        <v>0</v>
      </c>
      <c r="H16" s="282">
        <v>0</v>
      </c>
      <c r="I16" s="282">
        <v>0</v>
      </c>
      <c r="J16" s="282">
        <v>0</v>
      </c>
      <c r="K16" s="281">
        <v>0</v>
      </c>
      <c r="L16" s="870">
        <f>SUM(Table_Default__XLS_TAB_38_2[[#This Row],[LEGISLATORS_CNT]:[NOT_KNOWN_CNT]])</f>
        <v>3</v>
      </c>
      <c r="M16" s="282">
        <v>1</v>
      </c>
      <c r="N16" s="870">
        <f>Table_Default__XLS_TAB_38_2[[#This Row],[TOTAL]]+Table_Default__XLS_TAB_38_2[[#This Row],[NO_OCCUP]]</f>
        <v>4</v>
      </c>
      <c r="O16" s="728" t="s">
        <v>1250</v>
      </c>
    </row>
    <row r="17" spans="1:15" ht="31.5">
      <c r="A17" s="862" t="s">
        <v>750</v>
      </c>
      <c r="B17" s="282">
        <v>0</v>
      </c>
      <c r="C17" s="282">
        <v>0</v>
      </c>
      <c r="D17" s="282">
        <v>0</v>
      </c>
      <c r="E17" s="282">
        <v>0</v>
      </c>
      <c r="F17" s="282">
        <v>3</v>
      </c>
      <c r="G17" s="282">
        <v>0</v>
      </c>
      <c r="H17" s="282">
        <v>0</v>
      </c>
      <c r="I17" s="282">
        <v>0</v>
      </c>
      <c r="J17" s="282">
        <v>0</v>
      </c>
      <c r="K17" s="281">
        <v>0</v>
      </c>
      <c r="L17" s="870">
        <f>SUM(Table_Default__XLS_TAB_38_2[[#This Row],[LEGISLATORS_CNT]:[NOT_KNOWN_CNT]])</f>
        <v>3</v>
      </c>
      <c r="M17" s="282">
        <v>5</v>
      </c>
      <c r="N17" s="870">
        <f>Table_Default__XLS_TAB_38_2[[#This Row],[TOTAL]]+Table_Default__XLS_TAB_38_2[[#This Row],[NO_OCCUP]]</f>
        <v>8</v>
      </c>
      <c r="O17" s="727" t="s">
        <v>1251</v>
      </c>
    </row>
    <row r="18" spans="1:15" ht="21.95" customHeight="1">
      <c r="A18" s="862" t="s">
        <v>233</v>
      </c>
      <c r="B18" s="282">
        <v>0</v>
      </c>
      <c r="C18" s="282">
        <v>0</v>
      </c>
      <c r="D18" s="282">
        <v>2</v>
      </c>
      <c r="E18" s="282">
        <v>3</v>
      </c>
      <c r="F18" s="282">
        <v>2</v>
      </c>
      <c r="G18" s="282">
        <v>0</v>
      </c>
      <c r="H18" s="282">
        <v>0</v>
      </c>
      <c r="I18" s="282">
        <v>0</v>
      </c>
      <c r="J18" s="282">
        <v>0</v>
      </c>
      <c r="K18" s="281">
        <v>0</v>
      </c>
      <c r="L18" s="870">
        <f>SUM(Table_Default__XLS_TAB_38_2[[#This Row],[LEGISLATORS_CNT]:[NOT_KNOWN_CNT]])</f>
        <v>7</v>
      </c>
      <c r="M18" s="282">
        <v>1</v>
      </c>
      <c r="N18" s="870">
        <f>Table_Default__XLS_TAB_38_2[[#This Row],[TOTAL]]+Table_Default__XLS_TAB_38_2[[#This Row],[NO_OCCUP]]</f>
        <v>8</v>
      </c>
      <c r="O18" s="728" t="s">
        <v>711</v>
      </c>
    </row>
    <row r="19" spans="1:15" ht="31.5">
      <c r="A19" s="866" t="s">
        <v>232</v>
      </c>
      <c r="B19" s="291">
        <v>0</v>
      </c>
      <c r="C19" s="291">
        <v>0</v>
      </c>
      <c r="D19" s="291">
        <v>0</v>
      </c>
      <c r="E19" s="291">
        <v>0</v>
      </c>
      <c r="F19" s="291">
        <v>0</v>
      </c>
      <c r="G19" s="291">
        <v>0</v>
      </c>
      <c r="H19" s="291">
        <v>0</v>
      </c>
      <c r="I19" s="291">
        <v>0</v>
      </c>
      <c r="J19" s="291">
        <v>0</v>
      </c>
      <c r="K19" s="871">
        <v>0</v>
      </c>
      <c r="L19" s="121">
        <f>SUM(Table_Default__XLS_TAB_38_2[[#This Row],[LEGISLATORS_CNT]:[NOT_KNOWN_CNT]])</f>
        <v>0</v>
      </c>
      <c r="M19" s="291">
        <v>0</v>
      </c>
      <c r="N19" s="121">
        <f>Table_Default__XLS_TAB_38_2[[#This Row],[TOTAL]]+Table_Default__XLS_TAB_38_2[[#This Row],[NO_OCCUP]]</f>
        <v>0</v>
      </c>
      <c r="O19" s="727" t="s">
        <v>231</v>
      </c>
    </row>
    <row r="20" spans="1:15" ht="21.95" customHeight="1">
      <c r="A20" s="866" t="s">
        <v>17</v>
      </c>
      <c r="B20" s="121">
        <f>SUM(B10:B19)</f>
        <v>6</v>
      </c>
      <c r="C20" s="121">
        <f t="shared" ref="C20:K20" si="0">SUM(C10:C19)</f>
        <v>59</v>
      </c>
      <c r="D20" s="121">
        <f t="shared" si="0"/>
        <v>77</v>
      </c>
      <c r="E20" s="121">
        <f t="shared" si="0"/>
        <v>75</v>
      </c>
      <c r="F20" s="121">
        <f t="shared" si="0"/>
        <v>36</v>
      </c>
      <c r="G20" s="121">
        <f t="shared" si="0"/>
        <v>0</v>
      </c>
      <c r="H20" s="121">
        <f t="shared" si="0"/>
        <v>0</v>
      </c>
      <c r="I20" s="121">
        <f t="shared" si="0"/>
        <v>0</v>
      </c>
      <c r="J20" s="121">
        <f t="shared" si="0"/>
        <v>10</v>
      </c>
      <c r="K20" s="121">
        <f t="shared" si="0"/>
        <v>0</v>
      </c>
      <c r="L20" s="872">
        <f>SUM(L10:L19)</f>
        <v>263</v>
      </c>
      <c r="M20" s="121">
        <f>SUM(M10:M19)</f>
        <v>440</v>
      </c>
      <c r="N20" s="872">
        <f>SUM(N10:N19)</f>
        <v>703</v>
      </c>
      <c r="O20" s="298" t="s">
        <v>56</v>
      </c>
    </row>
    <row r="21" spans="1:15" ht="21.95" customHeight="1">
      <c r="A21" s="862" t="s">
        <v>1271</v>
      </c>
      <c r="B21" s="282">
        <v>1</v>
      </c>
      <c r="C21" s="282">
        <v>2</v>
      </c>
      <c r="D21" s="282">
        <v>0</v>
      </c>
      <c r="E21" s="282">
        <v>2</v>
      </c>
      <c r="F21" s="282">
        <v>0</v>
      </c>
      <c r="G21" s="282">
        <v>0</v>
      </c>
      <c r="H21" s="282">
        <v>0</v>
      </c>
      <c r="I21" s="282">
        <v>0</v>
      </c>
      <c r="J21" s="282">
        <v>0</v>
      </c>
      <c r="K21" s="282">
        <v>0</v>
      </c>
      <c r="L21" s="870">
        <v>5</v>
      </c>
      <c r="M21" s="282">
        <v>10</v>
      </c>
      <c r="N21" s="870">
        <v>15</v>
      </c>
      <c r="O21" s="863" t="s">
        <v>1272</v>
      </c>
    </row>
    <row r="22" spans="1:15" ht="27" customHeight="1">
      <c r="A22" s="98" t="s">
        <v>229</v>
      </c>
      <c r="B22" s="121">
        <f>B20+B21</f>
        <v>7</v>
      </c>
      <c r="C22" s="121">
        <f t="shared" ref="C22:N22" si="1">C20+C21</f>
        <v>61</v>
      </c>
      <c r="D22" s="121">
        <f t="shared" si="1"/>
        <v>77</v>
      </c>
      <c r="E22" s="121">
        <f t="shared" si="1"/>
        <v>77</v>
      </c>
      <c r="F22" s="121">
        <f t="shared" si="1"/>
        <v>36</v>
      </c>
      <c r="G22" s="121">
        <f t="shared" si="1"/>
        <v>0</v>
      </c>
      <c r="H22" s="121">
        <f t="shared" si="1"/>
        <v>0</v>
      </c>
      <c r="I22" s="121">
        <f t="shared" si="1"/>
        <v>0</v>
      </c>
      <c r="J22" s="121">
        <f t="shared" si="1"/>
        <v>10</v>
      </c>
      <c r="K22" s="121">
        <f t="shared" si="1"/>
        <v>0</v>
      </c>
      <c r="L22" s="121">
        <f>L20+L21</f>
        <v>268</v>
      </c>
      <c r="M22" s="121">
        <f t="shared" si="1"/>
        <v>450</v>
      </c>
      <c r="N22" s="121">
        <f t="shared" si="1"/>
        <v>718</v>
      </c>
      <c r="O22" s="99" t="s">
        <v>228</v>
      </c>
    </row>
    <row r="23" spans="1:15" s="2" customFormat="1" ht="15">
      <c r="A23" s="875" t="s">
        <v>227</v>
      </c>
      <c r="O23" s="874" t="s">
        <v>1276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O44"/>
  <sheetViews>
    <sheetView rightToLeft="1" view="pageBreakPreview" topLeftCell="A9" zoomScale="85" zoomScaleNormal="100" zoomScaleSheetLayoutView="85" workbookViewId="0">
      <selection activeCell="M18" sqref="M18"/>
    </sheetView>
  </sheetViews>
  <sheetFormatPr defaultColWidth="9.140625" defaultRowHeight="12.75"/>
  <cols>
    <col min="1" max="1" width="23.140625" style="1" customWidth="1"/>
    <col min="2" max="2" width="12.140625" style="1" customWidth="1"/>
    <col min="3" max="3" width="11.5703125" style="1" customWidth="1"/>
    <col min="4" max="4" width="10.42578125" style="1" customWidth="1"/>
    <col min="5" max="5" width="6.85546875" style="1" customWidth="1"/>
    <col min="6" max="6" width="10.42578125" style="1" customWidth="1"/>
    <col min="7" max="7" width="10" style="1" customWidth="1"/>
    <col min="8" max="8" width="8.42578125" style="1" customWidth="1"/>
    <col min="9" max="9" width="10" style="1" customWidth="1"/>
    <col min="10" max="10" width="10.42578125" style="1" customWidth="1"/>
    <col min="11" max="11" width="9.42578125" style="1" customWidth="1"/>
    <col min="12" max="12" width="7.140625" style="1" customWidth="1"/>
    <col min="13" max="13" width="8.42578125" style="1" customWidth="1"/>
    <col min="14" max="14" width="10" style="1" customWidth="1"/>
    <col min="15" max="15" width="27.85546875" style="1" customWidth="1"/>
    <col min="16" max="16384" width="9.140625" style="1"/>
  </cols>
  <sheetData>
    <row r="1" spans="1:15" s="2" customFormat="1" ht="18.75" customHeight="1">
      <c r="A1" s="1120" t="s">
        <v>368</v>
      </c>
      <c r="B1" s="1120"/>
      <c r="C1" s="1120"/>
      <c r="D1" s="1120"/>
      <c r="E1" s="1120"/>
      <c r="F1" s="1120"/>
      <c r="G1" s="1120"/>
      <c r="H1" s="1120"/>
      <c r="I1" s="1120"/>
      <c r="J1" s="1120"/>
      <c r="K1" s="1120"/>
      <c r="L1" s="1120"/>
      <c r="M1" s="1120"/>
      <c r="N1" s="1120"/>
      <c r="O1" s="1120"/>
    </row>
    <row r="2" spans="1:15" s="2" customFormat="1" ht="15.75">
      <c r="A2" s="1121" t="s">
        <v>691</v>
      </c>
      <c r="B2" s="1121"/>
      <c r="C2" s="1121"/>
      <c r="D2" s="1121"/>
      <c r="E2" s="1121"/>
      <c r="F2" s="1121"/>
      <c r="G2" s="1121"/>
      <c r="H2" s="1121"/>
      <c r="I2" s="1121"/>
      <c r="J2" s="1121"/>
      <c r="K2" s="1121"/>
      <c r="L2" s="1121"/>
      <c r="M2" s="1121"/>
      <c r="N2" s="1121"/>
      <c r="O2" s="1121"/>
    </row>
    <row r="3" spans="1:15" s="2" customFormat="1" ht="15" customHeight="1">
      <c r="A3" s="1122">
        <v>2019</v>
      </c>
      <c r="B3" s="1122"/>
      <c r="C3" s="1122"/>
      <c r="D3" s="1122"/>
      <c r="E3" s="1122"/>
      <c r="F3" s="1122"/>
      <c r="G3" s="1122"/>
      <c r="H3" s="1122"/>
      <c r="I3" s="1122"/>
      <c r="J3" s="1122"/>
      <c r="K3" s="1122"/>
      <c r="L3" s="1122"/>
      <c r="M3" s="1122"/>
      <c r="N3" s="1122"/>
      <c r="O3" s="1122"/>
    </row>
    <row r="4" spans="1:15" s="2" customFormat="1" ht="15.75">
      <c r="A4" s="1123" t="s">
        <v>1</v>
      </c>
      <c r="B4" s="1123"/>
      <c r="C4" s="1123"/>
      <c r="D4" s="1123"/>
      <c r="E4" s="1123"/>
      <c r="F4" s="1123"/>
      <c r="G4" s="1123"/>
      <c r="H4" s="1123"/>
      <c r="I4" s="1123"/>
      <c r="J4" s="1123"/>
      <c r="K4" s="1123"/>
      <c r="L4" s="1123"/>
      <c r="M4" s="1123"/>
      <c r="N4" s="1123"/>
      <c r="O4" s="1123"/>
    </row>
    <row r="5" spans="1:15" s="2" customFormat="1" ht="15.75">
      <c r="A5" s="376"/>
      <c r="B5" s="376"/>
      <c r="C5" s="376"/>
      <c r="D5" s="376"/>
      <c r="E5" s="376"/>
      <c r="F5" s="376"/>
      <c r="G5" s="376"/>
      <c r="H5" s="376"/>
      <c r="I5" s="376"/>
      <c r="J5" s="376"/>
      <c r="K5" s="376"/>
      <c r="L5" s="376"/>
      <c r="M5" s="376"/>
      <c r="N5" s="376"/>
      <c r="O5" s="376"/>
    </row>
    <row r="6" spans="1:15" ht="15.75">
      <c r="A6" s="373" t="s">
        <v>418</v>
      </c>
      <c r="B6" s="377"/>
      <c r="C6" s="377"/>
      <c r="D6" s="377"/>
      <c r="E6" s="377"/>
      <c r="F6" s="377"/>
      <c r="G6" s="377"/>
      <c r="H6" s="377"/>
      <c r="I6" s="377"/>
      <c r="J6" s="377"/>
      <c r="K6" s="377"/>
      <c r="L6" s="377"/>
      <c r="M6" s="377"/>
      <c r="N6" s="377"/>
      <c r="O6" s="375" t="s">
        <v>419</v>
      </c>
    </row>
    <row r="7" spans="1:15" ht="30" customHeight="1" thickBot="1">
      <c r="A7" s="1099" t="s">
        <v>243</v>
      </c>
      <c r="B7" s="1118" t="s">
        <v>242</v>
      </c>
      <c r="C7" s="1118"/>
      <c r="D7" s="1118"/>
      <c r="E7" s="1118"/>
      <c r="F7" s="1118"/>
      <c r="G7" s="1118"/>
      <c r="H7" s="1118"/>
      <c r="I7" s="1118"/>
      <c r="J7" s="1118"/>
      <c r="K7" s="1118"/>
      <c r="L7" s="1118"/>
      <c r="M7" s="1118"/>
      <c r="N7" s="1118"/>
      <c r="O7" s="1106" t="s">
        <v>241</v>
      </c>
    </row>
    <row r="8" spans="1:15" ht="86.25" customHeight="1" thickBot="1">
      <c r="A8" s="1117"/>
      <c r="B8" s="329" t="s">
        <v>736</v>
      </c>
      <c r="C8" s="329" t="s">
        <v>238</v>
      </c>
      <c r="D8" s="329" t="s">
        <v>237</v>
      </c>
      <c r="E8" s="329" t="s">
        <v>236</v>
      </c>
      <c r="F8" s="330" t="s">
        <v>235</v>
      </c>
      <c r="G8" s="330" t="s">
        <v>234</v>
      </c>
      <c r="H8" s="330" t="s">
        <v>737</v>
      </c>
      <c r="I8" s="330" t="s">
        <v>738</v>
      </c>
      <c r="J8" s="330" t="s">
        <v>233</v>
      </c>
      <c r="K8" s="330" t="s">
        <v>232</v>
      </c>
      <c r="L8" s="331" t="s">
        <v>17</v>
      </c>
      <c r="M8" s="864" t="s">
        <v>1273</v>
      </c>
      <c r="N8" s="329" t="s">
        <v>240</v>
      </c>
      <c r="O8" s="1119"/>
    </row>
    <row r="9" spans="1:15" ht="69" customHeight="1" thickBot="1">
      <c r="A9" s="1100"/>
      <c r="B9" s="589" t="s">
        <v>704</v>
      </c>
      <c r="C9" s="590" t="s">
        <v>705</v>
      </c>
      <c r="D9" s="590" t="s">
        <v>706</v>
      </c>
      <c r="E9" s="590" t="s">
        <v>707</v>
      </c>
      <c r="F9" s="581" t="s">
        <v>712</v>
      </c>
      <c r="G9" s="581" t="s">
        <v>708</v>
      </c>
      <c r="H9" s="581" t="s">
        <v>709</v>
      </c>
      <c r="I9" s="581" t="s">
        <v>710</v>
      </c>
      <c r="J9" s="581" t="s">
        <v>711</v>
      </c>
      <c r="K9" s="581" t="s">
        <v>231</v>
      </c>
      <c r="L9" s="591" t="s">
        <v>56</v>
      </c>
      <c r="M9" s="581" t="s">
        <v>230</v>
      </c>
      <c r="N9" s="442" t="s">
        <v>239</v>
      </c>
      <c r="O9" s="1107"/>
    </row>
    <row r="10" spans="1:15" ht="32.25" thickBot="1">
      <c r="A10" s="865" t="s">
        <v>748</v>
      </c>
      <c r="B10" s="784">
        <v>2</v>
      </c>
      <c r="C10" s="784">
        <v>7</v>
      </c>
      <c r="D10" s="784">
        <v>28</v>
      </c>
      <c r="E10" s="784">
        <v>26</v>
      </c>
      <c r="F10" s="784">
        <v>3</v>
      </c>
      <c r="G10" s="784">
        <v>0</v>
      </c>
      <c r="H10" s="784">
        <v>0</v>
      </c>
      <c r="I10" s="784">
        <v>0</v>
      </c>
      <c r="J10" s="784">
        <v>0</v>
      </c>
      <c r="K10" s="784">
        <v>0</v>
      </c>
      <c r="L10" s="876">
        <v>66</v>
      </c>
      <c r="M10" s="784">
        <v>94</v>
      </c>
      <c r="N10" s="876">
        <v>160</v>
      </c>
      <c r="O10" s="726" t="s">
        <v>1245</v>
      </c>
    </row>
    <row r="11" spans="1:15" ht="21.95" customHeight="1" thickBot="1">
      <c r="A11" s="862" t="s">
        <v>238</v>
      </c>
      <c r="B11" s="858">
        <v>4</v>
      </c>
      <c r="C11" s="858">
        <v>21</v>
      </c>
      <c r="D11" s="858">
        <v>24</v>
      </c>
      <c r="E11" s="858">
        <v>14</v>
      </c>
      <c r="F11" s="858">
        <v>7</v>
      </c>
      <c r="G11" s="858">
        <v>0</v>
      </c>
      <c r="H11" s="858">
        <v>0</v>
      </c>
      <c r="I11" s="858">
        <v>0</v>
      </c>
      <c r="J11" s="858">
        <v>4</v>
      </c>
      <c r="K11" s="877">
        <v>0</v>
      </c>
      <c r="L11" s="878">
        <v>74</v>
      </c>
      <c r="M11" s="879">
        <v>81</v>
      </c>
      <c r="N11" s="878">
        <v>155</v>
      </c>
      <c r="O11" s="727" t="s">
        <v>705</v>
      </c>
    </row>
    <row r="12" spans="1:15" ht="32.25" thickBot="1">
      <c r="A12" s="862" t="s">
        <v>237</v>
      </c>
      <c r="B12" s="858">
        <v>3</v>
      </c>
      <c r="C12" s="858">
        <v>35</v>
      </c>
      <c r="D12" s="858">
        <v>63</v>
      </c>
      <c r="E12" s="858">
        <v>56</v>
      </c>
      <c r="F12" s="858">
        <v>7</v>
      </c>
      <c r="G12" s="858">
        <v>0</v>
      </c>
      <c r="H12" s="858">
        <v>0</v>
      </c>
      <c r="I12" s="858">
        <v>0</v>
      </c>
      <c r="J12" s="858">
        <v>2</v>
      </c>
      <c r="K12" s="858">
        <v>0</v>
      </c>
      <c r="L12" s="878">
        <v>166</v>
      </c>
      <c r="M12" s="858">
        <v>149</v>
      </c>
      <c r="N12" s="878">
        <v>315</v>
      </c>
      <c r="O12" s="728" t="s">
        <v>1246</v>
      </c>
    </row>
    <row r="13" spans="1:15" ht="21.95" customHeight="1" thickBot="1">
      <c r="A13" s="862" t="s">
        <v>236</v>
      </c>
      <c r="B13" s="858">
        <v>0</v>
      </c>
      <c r="C13" s="858">
        <v>39</v>
      </c>
      <c r="D13" s="858">
        <v>61</v>
      </c>
      <c r="E13" s="858">
        <v>143</v>
      </c>
      <c r="F13" s="858">
        <v>14</v>
      </c>
      <c r="G13" s="858">
        <v>0</v>
      </c>
      <c r="H13" s="858">
        <v>0</v>
      </c>
      <c r="I13" s="858">
        <v>0</v>
      </c>
      <c r="J13" s="858">
        <v>5</v>
      </c>
      <c r="K13" s="877">
        <v>0</v>
      </c>
      <c r="L13" s="878">
        <v>262</v>
      </c>
      <c r="M13" s="879">
        <v>664</v>
      </c>
      <c r="N13" s="878">
        <v>926</v>
      </c>
      <c r="O13" s="727" t="s">
        <v>707</v>
      </c>
    </row>
    <row r="14" spans="1:15" ht="48" thickBot="1">
      <c r="A14" s="862" t="s">
        <v>235</v>
      </c>
      <c r="B14" s="858">
        <v>0</v>
      </c>
      <c r="C14" s="858">
        <v>2</v>
      </c>
      <c r="D14" s="858">
        <v>8</v>
      </c>
      <c r="E14" s="858">
        <v>26</v>
      </c>
      <c r="F14" s="858">
        <v>6</v>
      </c>
      <c r="G14" s="858">
        <v>0</v>
      </c>
      <c r="H14" s="858">
        <v>0</v>
      </c>
      <c r="I14" s="858">
        <v>0</v>
      </c>
      <c r="J14" s="858">
        <v>0</v>
      </c>
      <c r="K14" s="858">
        <v>0</v>
      </c>
      <c r="L14" s="878">
        <v>42</v>
      </c>
      <c r="M14" s="858">
        <v>85</v>
      </c>
      <c r="N14" s="878">
        <v>127</v>
      </c>
      <c r="O14" s="728" t="s">
        <v>1274</v>
      </c>
    </row>
    <row r="15" spans="1:15" ht="32.25" thickBot="1">
      <c r="A15" s="862" t="s">
        <v>1244</v>
      </c>
      <c r="B15" s="858">
        <v>0</v>
      </c>
      <c r="C15" s="858">
        <v>0</v>
      </c>
      <c r="D15" s="858">
        <v>0</v>
      </c>
      <c r="E15" s="858">
        <v>0</v>
      </c>
      <c r="F15" s="858">
        <v>0</v>
      </c>
      <c r="G15" s="858">
        <v>0</v>
      </c>
      <c r="H15" s="858">
        <v>0</v>
      </c>
      <c r="I15" s="858">
        <v>0</v>
      </c>
      <c r="J15" s="858">
        <v>0</v>
      </c>
      <c r="K15" s="877">
        <v>0</v>
      </c>
      <c r="L15" s="878">
        <v>0</v>
      </c>
      <c r="M15" s="879">
        <v>0</v>
      </c>
      <c r="N15" s="878">
        <v>0</v>
      </c>
      <c r="O15" s="727" t="s">
        <v>1248</v>
      </c>
    </row>
    <row r="16" spans="1:15" ht="32.25" thickBot="1">
      <c r="A16" s="862" t="s">
        <v>749</v>
      </c>
      <c r="B16" s="858">
        <v>0</v>
      </c>
      <c r="C16" s="858">
        <v>1</v>
      </c>
      <c r="D16" s="858">
        <v>1</v>
      </c>
      <c r="E16" s="858">
        <v>0</v>
      </c>
      <c r="F16" s="858">
        <v>1</v>
      </c>
      <c r="G16" s="858">
        <v>0</v>
      </c>
      <c r="H16" s="858">
        <v>0</v>
      </c>
      <c r="I16" s="858">
        <v>0</v>
      </c>
      <c r="J16" s="858">
        <v>0</v>
      </c>
      <c r="K16" s="858">
        <v>0</v>
      </c>
      <c r="L16" s="878">
        <v>3</v>
      </c>
      <c r="M16" s="858">
        <v>1</v>
      </c>
      <c r="N16" s="878">
        <v>4</v>
      </c>
      <c r="O16" s="728" t="s">
        <v>1250</v>
      </c>
    </row>
    <row r="17" spans="1:15" ht="32.25" thickBot="1">
      <c r="A17" s="862" t="s">
        <v>750</v>
      </c>
      <c r="B17" s="858">
        <v>1</v>
      </c>
      <c r="C17" s="858">
        <v>0</v>
      </c>
      <c r="D17" s="858">
        <v>0</v>
      </c>
      <c r="E17" s="858">
        <v>2</v>
      </c>
      <c r="F17" s="858">
        <v>3</v>
      </c>
      <c r="G17" s="858">
        <v>0</v>
      </c>
      <c r="H17" s="858">
        <v>0</v>
      </c>
      <c r="I17" s="858">
        <v>0</v>
      </c>
      <c r="J17" s="858">
        <v>0</v>
      </c>
      <c r="K17" s="877">
        <v>0</v>
      </c>
      <c r="L17" s="878">
        <v>6</v>
      </c>
      <c r="M17" s="879">
        <v>8</v>
      </c>
      <c r="N17" s="878">
        <v>14</v>
      </c>
      <c r="O17" s="727" t="s">
        <v>1275</v>
      </c>
    </row>
    <row r="18" spans="1:15" ht="16.5" thickBot="1">
      <c r="A18" s="862" t="s">
        <v>233</v>
      </c>
      <c r="B18" s="858">
        <v>0</v>
      </c>
      <c r="C18" s="858">
        <v>2</v>
      </c>
      <c r="D18" s="858">
        <v>2</v>
      </c>
      <c r="E18" s="858">
        <v>17</v>
      </c>
      <c r="F18" s="858">
        <v>2</v>
      </c>
      <c r="G18" s="858">
        <v>0</v>
      </c>
      <c r="H18" s="858">
        <v>0</v>
      </c>
      <c r="I18" s="858">
        <v>0</v>
      </c>
      <c r="J18" s="858">
        <v>0</v>
      </c>
      <c r="K18" s="858">
        <v>0</v>
      </c>
      <c r="L18" s="878">
        <v>23</v>
      </c>
      <c r="M18" s="858">
        <v>25</v>
      </c>
      <c r="N18" s="878">
        <v>48</v>
      </c>
      <c r="O18" s="728" t="s">
        <v>711</v>
      </c>
    </row>
    <row r="19" spans="1:15" ht="33.75" customHeight="1">
      <c r="A19" s="866" t="s">
        <v>232</v>
      </c>
      <c r="B19" s="880">
        <v>0</v>
      </c>
      <c r="C19" s="880">
        <v>0</v>
      </c>
      <c r="D19" s="880">
        <v>0</v>
      </c>
      <c r="E19" s="880">
        <v>0</v>
      </c>
      <c r="F19" s="880">
        <v>0</v>
      </c>
      <c r="G19" s="880">
        <v>0</v>
      </c>
      <c r="H19" s="880">
        <v>0</v>
      </c>
      <c r="I19" s="880">
        <v>0</v>
      </c>
      <c r="J19" s="880">
        <v>0</v>
      </c>
      <c r="K19" s="881">
        <v>0</v>
      </c>
      <c r="L19" s="882">
        <v>0</v>
      </c>
      <c r="M19" s="883">
        <v>0</v>
      </c>
      <c r="N19" s="882">
        <v>0</v>
      </c>
      <c r="O19" s="727" t="s">
        <v>231</v>
      </c>
    </row>
    <row r="20" spans="1:15" ht="21.75" customHeight="1">
      <c r="A20" s="866" t="s">
        <v>17</v>
      </c>
      <c r="B20" s="121">
        <v>10</v>
      </c>
      <c r="C20" s="121">
        <v>107</v>
      </c>
      <c r="D20" s="121">
        <v>187</v>
      </c>
      <c r="E20" s="121">
        <v>284</v>
      </c>
      <c r="F20" s="121">
        <v>43</v>
      </c>
      <c r="G20" s="121">
        <v>0</v>
      </c>
      <c r="H20" s="121">
        <v>0</v>
      </c>
      <c r="I20" s="121">
        <v>0</v>
      </c>
      <c r="J20" s="121">
        <v>11</v>
      </c>
      <c r="K20" s="121">
        <v>0</v>
      </c>
      <c r="L20" s="121">
        <v>642</v>
      </c>
      <c r="M20" s="121">
        <v>1107</v>
      </c>
      <c r="N20" s="121">
        <v>1749</v>
      </c>
      <c r="O20" s="298" t="s">
        <v>56</v>
      </c>
    </row>
    <row r="21" spans="1:15" ht="21.75" customHeight="1" thickBot="1">
      <c r="A21" s="862" t="s">
        <v>1271</v>
      </c>
      <c r="B21" s="81">
        <v>1</v>
      </c>
      <c r="C21" s="81">
        <v>5</v>
      </c>
      <c r="D21" s="81">
        <v>2</v>
      </c>
      <c r="E21" s="81">
        <v>11</v>
      </c>
      <c r="F21" s="81">
        <v>2</v>
      </c>
      <c r="G21" s="81">
        <v>0</v>
      </c>
      <c r="H21" s="81">
        <v>0</v>
      </c>
      <c r="I21" s="81">
        <v>0</v>
      </c>
      <c r="J21" s="81">
        <v>0</v>
      </c>
      <c r="K21" s="81">
        <v>0</v>
      </c>
      <c r="L21" s="7">
        <v>21</v>
      </c>
      <c r="M21" s="81">
        <v>63</v>
      </c>
      <c r="N21" s="7">
        <v>84</v>
      </c>
      <c r="O21" s="863" t="s">
        <v>1272</v>
      </c>
    </row>
    <row r="22" spans="1:15" ht="27" customHeight="1">
      <c r="A22" s="98" t="s">
        <v>229</v>
      </c>
      <c r="B22" s="121">
        <f>B21+B20</f>
        <v>11</v>
      </c>
      <c r="C22" s="121">
        <f t="shared" ref="C22:N22" si="0">C21+C20</f>
        <v>112</v>
      </c>
      <c r="D22" s="121">
        <f t="shared" si="0"/>
        <v>189</v>
      </c>
      <c r="E22" s="121">
        <f t="shared" si="0"/>
        <v>295</v>
      </c>
      <c r="F22" s="121">
        <f t="shared" si="0"/>
        <v>45</v>
      </c>
      <c r="G22" s="121">
        <f t="shared" si="0"/>
        <v>0</v>
      </c>
      <c r="H22" s="121">
        <f t="shared" si="0"/>
        <v>0</v>
      </c>
      <c r="I22" s="121">
        <f t="shared" si="0"/>
        <v>0</v>
      </c>
      <c r="J22" s="121">
        <f t="shared" si="0"/>
        <v>11</v>
      </c>
      <c r="K22" s="121">
        <f t="shared" si="0"/>
        <v>0</v>
      </c>
      <c r="L22" s="121">
        <f t="shared" si="0"/>
        <v>663</v>
      </c>
      <c r="M22" s="121">
        <f t="shared" si="0"/>
        <v>1170</v>
      </c>
      <c r="N22" s="121">
        <f t="shared" si="0"/>
        <v>1833</v>
      </c>
      <c r="O22" s="99" t="s">
        <v>228</v>
      </c>
    </row>
    <row r="23" spans="1:15" s="2" customFormat="1" ht="15">
      <c r="A23" s="875" t="s">
        <v>227</v>
      </c>
      <c r="O23" s="874" t="s">
        <v>1276</v>
      </c>
    </row>
    <row r="27" spans="1:15">
      <c r="A27" s="1" t="s">
        <v>250</v>
      </c>
      <c r="B27" s="1" t="s">
        <v>223</v>
      </c>
      <c r="C27" s="1" t="s">
        <v>222</v>
      </c>
    </row>
    <row r="28" spans="1:15">
      <c r="A28" s="1" t="s">
        <v>258</v>
      </c>
      <c r="B28" s="1">
        <f>N13</f>
        <v>926</v>
      </c>
      <c r="C28" s="1">
        <f>E22</f>
        <v>295</v>
      </c>
    </row>
    <row r="29" spans="1:15">
      <c r="A29" s="1" t="s">
        <v>253</v>
      </c>
      <c r="B29" s="1">
        <f>N18</f>
        <v>48</v>
      </c>
      <c r="C29" s="1">
        <f>J22</f>
        <v>11</v>
      </c>
    </row>
    <row r="30" spans="1:15">
      <c r="A30" s="1" t="s">
        <v>257</v>
      </c>
      <c r="B30" s="1">
        <f>N14</f>
        <v>127</v>
      </c>
      <c r="C30" s="1">
        <f>F22</f>
        <v>45</v>
      </c>
    </row>
    <row r="31" spans="1:15">
      <c r="A31" s="1" t="s">
        <v>260</v>
      </c>
      <c r="B31" s="1">
        <f>N11</f>
        <v>155</v>
      </c>
      <c r="C31" s="1">
        <f>C22</f>
        <v>112</v>
      </c>
    </row>
    <row r="32" spans="1:15">
      <c r="A32" s="1" t="s">
        <v>259</v>
      </c>
      <c r="B32" s="1">
        <f>N12</f>
        <v>315</v>
      </c>
      <c r="C32" s="1">
        <f>D22</f>
        <v>189</v>
      </c>
    </row>
    <row r="33" spans="1:4" ht="51">
      <c r="A33" s="13" t="s">
        <v>739</v>
      </c>
      <c r="B33" s="1">
        <f>N10</f>
        <v>160</v>
      </c>
      <c r="C33" s="1">
        <f>B22</f>
        <v>11</v>
      </c>
    </row>
    <row r="34" spans="1:4">
      <c r="A34" s="1" t="s">
        <v>251</v>
      </c>
      <c r="B34" s="1">
        <f>N21</f>
        <v>84</v>
      </c>
      <c r="C34" s="1">
        <f>M22</f>
        <v>1170</v>
      </c>
    </row>
    <row r="35" spans="1:4" ht="25.5">
      <c r="A35" s="13" t="s">
        <v>730</v>
      </c>
      <c r="B35" s="1">
        <f>B44</f>
        <v>18</v>
      </c>
      <c r="C35" s="1">
        <f>C44</f>
        <v>0</v>
      </c>
    </row>
    <row r="36" spans="1:4">
      <c r="B36" s="1">
        <f>SUM(B28:B35)</f>
        <v>1833</v>
      </c>
      <c r="C36" s="1">
        <f>SUM(C28:C35)</f>
        <v>1833</v>
      </c>
      <c r="D36" s="1">
        <f>SUM(B36:C36)</f>
        <v>3666</v>
      </c>
    </row>
    <row r="40" spans="1:4">
      <c r="A40" s="1" t="s">
        <v>255</v>
      </c>
      <c r="B40" s="1">
        <f>N16</f>
        <v>4</v>
      </c>
      <c r="C40" s="1">
        <f>H22</f>
        <v>0</v>
      </c>
    </row>
    <row r="41" spans="1:4">
      <c r="A41" s="1" t="s">
        <v>254</v>
      </c>
      <c r="B41" s="1">
        <f>N17</f>
        <v>14</v>
      </c>
      <c r="C41" s="1">
        <f>I22</f>
        <v>0</v>
      </c>
    </row>
    <row r="42" spans="1:4">
      <c r="A42" s="1" t="s">
        <v>256</v>
      </c>
      <c r="B42" s="1">
        <f>N15</f>
        <v>0</v>
      </c>
      <c r="C42" s="1">
        <f>G22</f>
        <v>0</v>
      </c>
    </row>
    <row r="43" spans="1:4">
      <c r="A43" s="1" t="s">
        <v>252</v>
      </c>
      <c r="B43" s="1">
        <f>N19</f>
        <v>0</v>
      </c>
      <c r="C43" s="1">
        <f>K22</f>
        <v>0</v>
      </c>
    </row>
    <row r="44" spans="1:4">
      <c r="B44" s="1">
        <f>SUM(B40:B43)</f>
        <v>18</v>
      </c>
      <c r="C44" s="1">
        <f>SUM(C40:C43)</f>
        <v>0</v>
      </c>
    </row>
  </sheetData>
  <sortState ref="A51:C63">
    <sortCondition descending="1" ref="B51"/>
  </sortState>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37:N37"/>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37" spans="1:14" ht="15.75">
      <c r="A37" s="1038" t="s">
        <v>369</v>
      </c>
      <c r="B37" s="1038"/>
      <c r="C37" s="1038"/>
      <c r="D37" s="1038"/>
      <c r="E37" s="1038"/>
      <c r="F37" s="1038"/>
      <c r="G37" s="1038"/>
      <c r="H37" s="1038"/>
      <c r="I37" s="1038"/>
      <c r="J37" s="1038"/>
      <c r="K37" s="1038"/>
      <c r="L37" s="1038"/>
      <c r="M37" s="1038"/>
      <c r="N37" s="1038"/>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Z39"/>
  <sheetViews>
    <sheetView rightToLeft="1" view="pageBreakPreview" topLeftCell="I4" zoomScaleNormal="100" zoomScaleSheetLayoutView="100" workbookViewId="0">
      <selection activeCell="M18" sqref="M18"/>
    </sheetView>
  </sheetViews>
  <sheetFormatPr defaultColWidth="9.140625" defaultRowHeight="12.75"/>
  <cols>
    <col min="1" max="1" width="26.5703125" style="1" customWidth="1"/>
    <col min="2" max="2" width="23.140625" style="1" customWidth="1"/>
    <col min="3" max="8" width="20.42578125" style="1" customWidth="1"/>
    <col min="9" max="9" width="19.5703125" style="1" customWidth="1"/>
    <col min="10" max="10" width="7.42578125" style="1" customWidth="1"/>
    <col min="11" max="11" width="7.85546875" style="1" customWidth="1"/>
    <col min="12" max="12" width="6.42578125" style="1" customWidth="1"/>
    <col min="13" max="13" width="7.140625" style="1" customWidth="1"/>
    <col min="14" max="14" width="6.5703125" style="1" customWidth="1"/>
    <col min="15" max="15" width="7.42578125" style="1" customWidth="1"/>
    <col min="16" max="16" width="7" style="1" customWidth="1"/>
    <col min="17" max="17" width="8.42578125" style="1" customWidth="1"/>
    <col min="18" max="18" width="6.42578125" style="1" customWidth="1"/>
    <col min="19" max="19" width="7.140625" style="1" customWidth="1"/>
    <col min="20" max="20" width="12.42578125" style="1" customWidth="1"/>
    <col min="21" max="21" width="9.140625" style="1" customWidth="1"/>
    <col min="22" max="22" width="20.42578125" style="1" customWidth="1"/>
    <col min="23" max="16384" width="9.140625" style="1"/>
  </cols>
  <sheetData>
    <row r="1" spans="1:26" s="2" customFormat="1" ht="21.75" customHeight="1">
      <c r="I1" s="1009" t="s">
        <v>374</v>
      </c>
      <c r="J1" s="1009"/>
      <c r="K1" s="1009"/>
      <c r="L1" s="1009"/>
      <c r="M1" s="1009"/>
      <c r="N1" s="1009"/>
      <c r="O1" s="1009"/>
      <c r="P1" s="1009"/>
      <c r="Q1" s="1009"/>
      <c r="R1" s="1009"/>
      <c r="S1" s="1009"/>
      <c r="T1" s="1009"/>
      <c r="U1" s="1009"/>
      <c r="V1" s="1009"/>
    </row>
    <row r="2" spans="1:26" s="2" customFormat="1" ht="15.75">
      <c r="I2" s="1036" t="s">
        <v>373</v>
      </c>
      <c r="J2" s="1036"/>
      <c r="K2" s="1036"/>
      <c r="L2" s="1036"/>
      <c r="M2" s="1036"/>
      <c r="N2" s="1036"/>
      <c r="O2" s="1036"/>
      <c r="P2" s="1036"/>
      <c r="Q2" s="1036"/>
      <c r="R2" s="1036"/>
      <c r="S2" s="1036"/>
      <c r="T2" s="1036"/>
      <c r="U2" s="1036"/>
      <c r="V2" s="1036"/>
    </row>
    <row r="3" spans="1:26" s="2" customFormat="1" ht="18" customHeight="1">
      <c r="A3" s="2">
        <v>2013</v>
      </c>
      <c r="I3" s="1037">
        <v>2019</v>
      </c>
      <c r="J3" s="1037"/>
      <c r="K3" s="1037"/>
      <c r="L3" s="1037"/>
      <c r="M3" s="1037"/>
      <c r="N3" s="1037"/>
      <c r="O3" s="1037"/>
      <c r="P3" s="1037"/>
      <c r="Q3" s="1037"/>
      <c r="R3" s="1037"/>
      <c r="S3" s="1037"/>
      <c r="T3" s="1037"/>
      <c r="U3" s="1037"/>
      <c r="V3" s="1037"/>
      <c r="W3" s="57"/>
      <c r="X3" s="57"/>
      <c r="Y3" s="57"/>
      <c r="Z3" s="57"/>
    </row>
    <row r="4" spans="1:26" s="2" customFormat="1" ht="15.75">
      <c r="I4" s="1037" t="s">
        <v>372</v>
      </c>
      <c r="J4" s="1037"/>
      <c r="K4" s="1037"/>
      <c r="L4" s="1037"/>
      <c r="M4" s="1037"/>
      <c r="N4" s="1037"/>
      <c r="O4" s="1037"/>
      <c r="P4" s="1037"/>
      <c r="Q4" s="1037"/>
      <c r="R4" s="1037"/>
      <c r="S4" s="1037"/>
      <c r="T4" s="1037"/>
      <c r="U4" s="1037"/>
      <c r="V4" s="1037"/>
    </row>
    <row r="5" spans="1:26" s="2" customFormat="1" ht="15.75">
      <c r="I5" s="361"/>
      <c r="J5" s="361"/>
      <c r="K5" s="361"/>
      <c r="L5" s="361"/>
      <c r="M5" s="361"/>
      <c r="N5" s="361"/>
      <c r="O5" s="361"/>
      <c r="P5" s="361"/>
      <c r="Q5" s="361"/>
      <c r="R5" s="361"/>
      <c r="S5" s="361"/>
      <c r="T5" s="361"/>
      <c r="U5" s="361"/>
      <c r="V5" s="361"/>
    </row>
    <row r="6" spans="1:26" ht="15.75">
      <c r="I6" s="373" t="s">
        <v>422</v>
      </c>
      <c r="J6" s="377"/>
      <c r="K6" s="377"/>
      <c r="L6" s="377"/>
      <c r="M6" s="377"/>
      <c r="N6" s="377"/>
      <c r="O6" s="377"/>
      <c r="P6" s="377"/>
      <c r="Q6" s="377"/>
      <c r="R6" s="377"/>
      <c r="S6" s="377"/>
      <c r="T6" s="377"/>
      <c r="U6" s="377"/>
      <c r="V6" s="375" t="s">
        <v>423</v>
      </c>
    </row>
    <row r="7" spans="1:26" ht="26.25" customHeight="1" thickBot="1">
      <c r="I7" s="1099" t="s">
        <v>159</v>
      </c>
      <c r="J7" s="1087" t="s">
        <v>136</v>
      </c>
      <c r="K7" s="1087"/>
      <c r="L7" s="1087"/>
      <c r="M7" s="1087"/>
      <c r="N7" s="1087"/>
      <c r="O7" s="1087"/>
      <c r="P7" s="1087"/>
      <c r="Q7" s="1087"/>
      <c r="R7" s="1087"/>
      <c r="S7" s="1087"/>
      <c r="T7" s="1087"/>
      <c r="U7" s="1087"/>
      <c r="V7" s="1106" t="s">
        <v>350</v>
      </c>
    </row>
    <row r="8" spans="1:26" ht="44.25" customHeight="1">
      <c r="I8" s="1100"/>
      <c r="J8" s="319">
        <v>-20</v>
      </c>
      <c r="K8" s="319" t="s">
        <v>128</v>
      </c>
      <c r="L8" s="319" t="s">
        <v>127</v>
      </c>
      <c r="M8" s="319" t="s">
        <v>126</v>
      </c>
      <c r="N8" s="319" t="s">
        <v>125</v>
      </c>
      <c r="O8" s="319" t="s">
        <v>124</v>
      </c>
      <c r="P8" s="319" t="s">
        <v>123</v>
      </c>
      <c r="Q8" s="319" t="s">
        <v>122</v>
      </c>
      <c r="R8" s="319" t="s">
        <v>121</v>
      </c>
      <c r="S8" s="319" t="s">
        <v>133</v>
      </c>
      <c r="T8" s="328" t="s">
        <v>655</v>
      </c>
      <c r="U8" s="325" t="s">
        <v>605</v>
      </c>
      <c r="V8" s="1107"/>
    </row>
    <row r="9" spans="1:26" ht="18" customHeight="1" thickBot="1">
      <c r="I9" s="777" t="s">
        <v>437</v>
      </c>
      <c r="J9" s="81">
        <v>0</v>
      </c>
      <c r="K9" s="81">
        <v>0</v>
      </c>
      <c r="L9" s="81">
        <v>0</v>
      </c>
      <c r="M9" s="81">
        <v>0</v>
      </c>
      <c r="N9" s="81">
        <v>0</v>
      </c>
      <c r="O9" s="81">
        <v>0</v>
      </c>
      <c r="P9" s="81">
        <v>0</v>
      </c>
      <c r="Q9" s="81">
        <v>0</v>
      </c>
      <c r="R9" s="81">
        <v>0</v>
      </c>
      <c r="S9" s="81">
        <v>0</v>
      </c>
      <c r="T9" s="81">
        <v>0</v>
      </c>
      <c r="U9" s="7">
        <f>SUM(Table_Default__XLS_TAB_39_1[[#This Row],[AGE_LEVEL_LESS_20]:[AGE_LEVEL_NOT_STATED]])</f>
        <v>0</v>
      </c>
      <c r="V9" s="103" t="s">
        <v>437</v>
      </c>
    </row>
    <row r="10" spans="1:26" ht="18" customHeight="1" thickBot="1">
      <c r="I10" s="777" t="s">
        <v>128</v>
      </c>
      <c r="J10" s="81">
        <v>0</v>
      </c>
      <c r="K10" s="81">
        <v>4</v>
      </c>
      <c r="L10" s="81">
        <v>4</v>
      </c>
      <c r="M10" s="81">
        <v>1</v>
      </c>
      <c r="N10" s="81">
        <v>0</v>
      </c>
      <c r="O10" s="81">
        <v>0</v>
      </c>
      <c r="P10" s="81">
        <v>0</v>
      </c>
      <c r="Q10" s="81">
        <v>0</v>
      </c>
      <c r="R10" s="81">
        <v>0</v>
      </c>
      <c r="S10" s="81">
        <v>0</v>
      </c>
      <c r="T10" s="81">
        <v>0</v>
      </c>
      <c r="U10" s="7">
        <f>SUM(Table_Default__XLS_TAB_39_1[[#This Row],[AGE_LEVEL_LESS_20]:[AGE_LEVEL_NOT_STATED]])</f>
        <v>9</v>
      </c>
      <c r="V10" s="103" t="s">
        <v>128</v>
      </c>
    </row>
    <row r="11" spans="1:26" ht="18" customHeight="1" thickBot="1">
      <c r="I11" s="777" t="s">
        <v>127</v>
      </c>
      <c r="J11" s="81">
        <v>1</v>
      </c>
      <c r="K11" s="81">
        <v>9</v>
      </c>
      <c r="L11" s="81">
        <v>11</v>
      </c>
      <c r="M11" s="81">
        <v>3</v>
      </c>
      <c r="N11" s="81">
        <v>0</v>
      </c>
      <c r="O11" s="81">
        <v>0</v>
      </c>
      <c r="P11" s="81">
        <v>0</v>
      </c>
      <c r="Q11" s="81">
        <v>0</v>
      </c>
      <c r="R11" s="81">
        <v>0</v>
      </c>
      <c r="S11" s="81">
        <v>0</v>
      </c>
      <c r="T11" s="81">
        <v>1</v>
      </c>
      <c r="U11" s="7">
        <f>SUM(Table_Default__XLS_TAB_39_1[[#This Row],[AGE_LEVEL_LESS_20]:[AGE_LEVEL_NOT_STATED]])</f>
        <v>25</v>
      </c>
      <c r="V11" s="103" t="s">
        <v>127</v>
      </c>
    </row>
    <row r="12" spans="1:26" ht="18" customHeight="1" thickBot="1">
      <c r="I12" s="777" t="s">
        <v>126</v>
      </c>
      <c r="J12" s="81">
        <v>0</v>
      </c>
      <c r="K12" s="81">
        <v>1</v>
      </c>
      <c r="L12" s="81">
        <v>5</v>
      </c>
      <c r="M12" s="81">
        <v>4</v>
      </c>
      <c r="N12" s="81">
        <v>1</v>
      </c>
      <c r="O12" s="81">
        <v>0</v>
      </c>
      <c r="P12" s="81">
        <v>0</v>
      </c>
      <c r="Q12" s="81">
        <v>0</v>
      </c>
      <c r="R12" s="81">
        <v>0</v>
      </c>
      <c r="S12" s="81">
        <v>0</v>
      </c>
      <c r="T12" s="81">
        <v>0</v>
      </c>
      <c r="U12" s="7">
        <f>SUM(Table_Default__XLS_TAB_39_1[[#This Row],[AGE_LEVEL_LESS_20]:[AGE_LEVEL_NOT_STATED]])</f>
        <v>11</v>
      </c>
      <c r="V12" s="103" t="s">
        <v>126</v>
      </c>
    </row>
    <row r="13" spans="1:26" ht="18" customHeight="1" thickBot="1">
      <c r="I13" s="777" t="s">
        <v>125</v>
      </c>
      <c r="J13" s="81">
        <v>0</v>
      </c>
      <c r="K13" s="81">
        <v>0</v>
      </c>
      <c r="L13" s="81">
        <v>3</v>
      </c>
      <c r="M13" s="81">
        <v>2</v>
      </c>
      <c r="N13" s="81">
        <v>1</v>
      </c>
      <c r="O13" s="81">
        <v>0</v>
      </c>
      <c r="P13" s="81">
        <v>0</v>
      </c>
      <c r="Q13" s="81">
        <v>0</v>
      </c>
      <c r="R13" s="81">
        <v>0</v>
      </c>
      <c r="S13" s="81">
        <v>0</v>
      </c>
      <c r="T13" s="81">
        <v>0</v>
      </c>
      <c r="U13" s="7">
        <f>SUM(Table_Default__XLS_TAB_39_1[[#This Row],[AGE_LEVEL_LESS_20]:[AGE_LEVEL_NOT_STATED]])</f>
        <v>6</v>
      </c>
      <c r="V13" s="103" t="s">
        <v>125</v>
      </c>
    </row>
    <row r="14" spans="1:26" ht="18" customHeight="1" thickBot="1">
      <c r="I14" s="777" t="s">
        <v>124</v>
      </c>
      <c r="J14" s="81">
        <v>0</v>
      </c>
      <c r="K14" s="81">
        <v>0</v>
      </c>
      <c r="L14" s="81">
        <v>0</v>
      </c>
      <c r="M14" s="81">
        <v>0</v>
      </c>
      <c r="N14" s="81">
        <v>1</v>
      </c>
      <c r="O14" s="81">
        <v>1</v>
      </c>
      <c r="P14" s="81">
        <v>0</v>
      </c>
      <c r="Q14" s="81">
        <v>0</v>
      </c>
      <c r="R14" s="81">
        <v>0</v>
      </c>
      <c r="S14" s="81">
        <v>0</v>
      </c>
      <c r="T14" s="81">
        <v>0</v>
      </c>
      <c r="U14" s="7">
        <f>SUM(Table_Default__XLS_TAB_39_1[[#This Row],[AGE_LEVEL_LESS_20]:[AGE_LEVEL_NOT_STATED]])</f>
        <v>2</v>
      </c>
      <c r="V14" s="103" t="s">
        <v>124</v>
      </c>
    </row>
    <row r="15" spans="1:26" ht="18" customHeight="1" thickBot="1">
      <c r="I15" s="777" t="s">
        <v>123</v>
      </c>
      <c r="J15" s="81">
        <v>0</v>
      </c>
      <c r="K15" s="81">
        <v>0</v>
      </c>
      <c r="L15" s="81">
        <v>0</v>
      </c>
      <c r="M15" s="81">
        <v>0</v>
      </c>
      <c r="N15" s="81">
        <v>0</v>
      </c>
      <c r="O15" s="81">
        <v>0</v>
      </c>
      <c r="P15" s="81">
        <v>0</v>
      </c>
      <c r="Q15" s="81">
        <v>0</v>
      </c>
      <c r="R15" s="81">
        <v>0</v>
      </c>
      <c r="S15" s="81">
        <v>0</v>
      </c>
      <c r="T15" s="81">
        <v>1</v>
      </c>
      <c r="U15" s="7">
        <f>SUM(Table_Default__XLS_TAB_39_1[[#This Row],[AGE_LEVEL_LESS_20]:[AGE_LEVEL_NOT_STATED]])</f>
        <v>1</v>
      </c>
      <c r="V15" s="103" t="s">
        <v>123</v>
      </c>
    </row>
    <row r="16" spans="1:26" ht="18" customHeight="1" thickBot="1">
      <c r="I16" s="777" t="s">
        <v>122</v>
      </c>
      <c r="J16" s="81">
        <v>0</v>
      </c>
      <c r="K16" s="81">
        <v>0</v>
      </c>
      <c r="L16" s="81">
        <v>0</v>
      </c>
      <c r="M16" s="81">
        <v>0</v>
      </c>
      <c r="N16" s="81">
        <v>0</v>
      </c>
      <c r="O16" s="81">
        <v>2</v>
      </c>
      <c r="P16" s="81">
        <v>1</v>
      </c>
      <c r="Q16" s="81">
        <v>1</v>
      </c>
      <c r="R16" s="81">
        <v>0</v>
      </c>
      <c r="S16" s="81">
        <v>0</v>
      </c>
      <c r="T16" s="81">
        <v>0</v>
      </c>
      <c r="U16" s="7">
        <f>SUM(Table_Default__XLS_TAB_39_1[[#This Row],[AGE_LEVEL_LESS_20]:[AGE_LEVEL_NOT_STATED]])</f>
        <v>4</v>
      </c>
      <c r="V16" s="103" t="s">
        <v>122</v>
      </c>
    </row>
    <row r="17" spans="9:22" ht="18" customHeight="1" thickBot="1">
      <c r="I17" s="777" t="s">
        <v>121</v>
      </c>
      <c r="J17" s="81">
        <v>0</v>
      </c>
      <c r="K17" s="81">
        <v>0</v>
      </c>
      <c r="L17" s="81">
        <v>0</v>
      </c>
      <c r="M17" s="81">
        <v>0</v>
      </c>
      <c r="N17" s="81">
        <v>0</v>
      </c>
      <c r="O17" s="81">
        <v>0</v>
      </c>
      <c r="P17" s="81">
        <v>1</v>
      </c>
      <c r="Q17" s="81">
        <v>1</v>
      </c>
      <c r="R17" s="81">
        <v>0</v>
      </c>
      <c r="S17" s="81">
        <v>0</v>
      </c>
      <c r="T17" s="81">
        <v>0</v>
      </c>
      <c r="U17" s="7">
        <f>SUM(Table_Default__XLS_TAB_39_1[[#This Row],[AGE_LEVEL_LESS_20]:[AGE_LEVEL_NOT_STATED]])</f>
        <v>2</v>
      </c>
      <c r="V17" s="103" t="s">
        <v>121</v>
      </c>
    </row>
    <row r="18" spans="9:22" ht="18" customHeight="1" thickBot="1">
      <c r="I18" s="777" t="s">
        <v>120</v>
      </c>
      <c r="J18" s="81">
        <v>0</v>
      </c>
      <c r="K18" s="81">
        <v>0</v>
      </c>
      <c r="L18" s="81">
        <v>0</v>
      </c>
      <c r="M18" s="81">
        <v>0</v>
      </c>
      <c r="N18" s="81">
        <v>0</v>
      </c>
      <c r="O18" s="81">
        <v>0</v>
      </c>
      <c r="P18" s="81">
        <v>1</v>
      </c>
      <c r="Q18" s="81">
        <v>0</v>
      </c>
      <c r="R18" s="81">
        <v>0</v>
      </c>
      <c r="S18" s="81">
        <v>0</v>
      </c>
      <c r="T18" s="81">
        <v>0</v>
      </c>
      <c r="U18" s="7">
        <f>SUM(Table_Default__XLS_TAB_39_1[[#This Row],[AGE_LEVEL_LESS_20]:[AGE_LEVEL_NOT_STATED]])</f>
        <v>1</v>
      </c>
      <c r="V18" s="103" t="s">
        <v>120</v>
      </c>
    </row>
    <row r="19" spans="9:22" ht="18" customHeight="1" thickBot="1">
      <c r="I19" s="777" t="s">
        <v>119</v>
      </c>
      <c r="J19" s="81">
        <v>0</v>
      </c>
      <c r="K19" s="81">
        <v>0</v>
      </c>
      <c r="L19" s="81">
        <v>0</v>
      </c>
      <c r="M19" s="81">
        <v>0</v>
      </c>
      <c r="N19" s="81">
        <v>0</v>
      </c>
      <c r="O19" s="81">
        <v>0</v>
      </c>
      <c r="P19" s="81">
        <v>0</v>
      </c>
      <c r="Q19" s="81">
        <v>0</v>
      </c>
      <c r="R19" s="81">
        <v>0</v>
      </c>
      <c r="S19" s="81">
        <v>0</v>
      </c>
      <c r="T19" s="81">
        <v>0</v>
      </c>
      <c r="U19" s="7">
        <f>SUM(Table_Default__XLS_TAB_39_1[[#This Row],[AGE_LEVEL_LESS_20]:[AGE_LEVEL_NOT_STATED]])</f>
        <v>0</v>
      </c>
      <c r="V19" s="103" t="s">
        <v>119</v>
      </c>
    </row>
    <row r="20" spans="9:22" ht="18" customHeight="1" thickBot="1">
      <c r="I20" s="777" t="s">
        <v>118</v>
      </c>
      <c r="J20" s="81">
        <v>0</v>
      </c>
      <c r="K20" s="81">
        <v>0</v>
      </c>
      <c r="L20" s="81">
        <v>0</v>
      </c>
      <c r="M20" s="81">
        <v>0</v>
      </c>
      <c r="N20" s="81">
        <v>0</v>
      </c>
      <c r="O20" s="81">
        <v>0</v>
      </c>
      <c r="P20" s="81">
        <v>0</v>
      </c>
      <c r="Q20" s="81">
        <v>0</v>
      </c>
      <c r="R20" s="81">
        <v>0</v>
      </c>
      <c r="S20" s="81">
        <v>1</v>
      </c>
      <c r="T20" s="81">
        <v>0</v>
      </c>
      <c r="U20" s="7">
        <f>SUM(Table_Default__XLS_TAB_39_1[[#This Row],[AGE_LEVEL_LESS_20]:[AGE_LEVEL_NOT_STATED]])</f>
        <v>1</v>
      </c>
      <c r="V20" s="103" t="s">
        <v>118</v>
      </c>
    </row>
    <row r="21" spans="9:22" ht="18" customHeight="1" thickBot="1">
      <c r="I21" s="777" t="s">
        <v>117</v>
      </c>
      <c r="J21" s="81">
        <v>0</v>
      </c>
      <c r="K21" s="81">
        <v>0</v>
      </c>
      <c r="L21" s="81">
        <v>0</v>
      </c>
      <c r="M21" s="81">
        <v>0</v>
      </c>
      <c r="N21" s="81">
        <v>0</v>
      </c>
      <c r="O21" s="81">
        <v>0</v>
      </c>
      <c r="P21" s="81">
        <v>0</v>
      </c>
      <c r="Q21" s="81">
        <v>0</v>
      </c>
      <c r="R21" s="81">
        <v>0</v>
      </c>
      <c r="S21" s="81">
        <v>0</v>
      </c>
      <c r="T21" s="81">
        <v>0</v>
      </c>
      <c r="U21" s="7">
        <f>SUM(Table_Default__XLS_TAB_39_1[[#This Row],[AGE_LEVEL_LESS_20]:[AGE_LEVEL_NOT_STATED]])</f>
        <v>0</v>
      </c>
      <c r="V21" s="103" t="s">
        <v>117</v>
      </c>
    </row>
    <row r="22" spans="9:22" ht="18" customHeight="1" thickBot="1">
      <c r="I22" s="854" t="s">
        <v>15</v>
      </c>
      <c r="J22" s="282">
        <v>0</v>
      </c>
      <c r="K22" s="282">
        <v>0</v>
      </c>
      <c r="L22" s="282">
        <v>0</v>
      </c>
      <c r="M22" s="282">
        <v>0</v>
      </c>
      <c r="N22" s="282">
        <v>0</v>
      </c>
      <c r="O22" s="282">
        <v>0</v>
      </c>
      <c r="P22" s="282">
        <v>0</v>
      </c>
      <c r="Q22" s="282">
        <v>0</v>
      </c>
      <c r="R22" s="282">
        <v>0</v>
      </c>
      <c r="S22" s="282">
        <v>0</v>
      </c>
      <c r="T22" s="282">
        <v>0</v>
      </c>
      <c r="U22" s="7">
        <f>SUM(Table_Default__XLS_TAB_39_1[[#This Row],[AGE_LEVEL_LESS_20]:[AGE_LEVEL_NOT_STATED]])</f>
        <v>0</v>
      </c>
      <c r="V22" s="855" t="s">
        <v>16</v>
      </c>
    </row>
    <row r="23" spans="9:22" ht="21" customHeight="1">
      <c r="I23" s="98" t="s">
        <v>17</v>
      </c>
      <c r="J23" s="121">
        <f>SUM(J9:J22)</f>
        <v>1</v>
      </c>
      <c r="K23" s="121">
        <f t="shared" ref="K23:T23" si="0">SUM(K9:K22)</f>
        <v>14</v>
      </c>
      <c r="L23" s="121">
        <f t="shared" si="0"/>
        <v>23</v>
      </c>
      <c r="M23" s="121">
        <f t="shared" si="0"/>
        <v>10</v>
      </c>
      <c r="N23" s="121">
        <f t="shared" si="0"/>
        <v>3</v>
      </c>
      <c r="O23" s="121">
        <f t="shared" si="0"/>
        <v>3</v>
      </c>
      <c r="P23" s="121">
        <f t="shared" si="0"/>
        <v>3</v>
      </c>
      <c r="Q23" s="121">
        <f t="shared" si="0"/>
        <v>2</v>
      </c>
      <c r="R23" s="121">
        <f t="shared" si="0"/>
        <v>0</v>
      </c>
      <c r="S23" s="121">
        <f t="shared" si="0"/>
        <v>1</v>
      </c>
      <c r="T23" s="121">
        <f t="shared" si="0"/>
        <v>2</v>
      </c>
      <c r="U23" s="121">
        <f>SUM(U9:U22)</f>
        <v>62</v>
      </c>
      <c r="V23" s="99" t="s">
        <v>56</v>
      </c>
    </row>
    <row r="28" spans="9:22" ht="102.75" thickBot="1">
      <c r="J28" s="13" t="s">
        <v>371</v>
      </c>
      <c r="K28" s="87" t="s">
        <v>370</v>
      </c>
    </row>
    <row r="29" spans="9:22" ht="15.75" thickBot="1">
      <c r="I29" s="86">
        <v>-20</v>
      </c>
      <c r="J29" s="1">
        <f>J23</f>
        <v>1</v>
      </c>
      <c r="K29" s="1">
        <f>U9</f>
        <v>0</v>
      </c>
    </row>
    <row r="30" spans="9:22" ht="15.75" thickBot="1">
      <c r="I30" s="86" t="s">
        <v>6</v>
      </c>
      <c r="J30" s="1">
        <f>K23</f>
        <v>14</v>
      </c>
      <c r="K30" s="1">
        <f t="shared" ref="K30:K37" si="1">U10</f>
        <v>9</v>
      </c>
    </row>
    <row r="31" spans="9:22" ht="15.75" thickBot="1">
      <c r="I31" s="86" t="s">
        <v>7</v>
      </c>
      <c r="J31" s="1">
        <f>L23</f>
        <v>23</v>
      </c>
      <c r="K31" s="1">
        <f t="shared" si="1"/>
        <v>25</v>
      </c>
    </row>
    <row r="32" spans="9:22" ht="15.75" thickBot="1">
      <c r="I32" s="86" t="s">
        <v>8</v>
      </c>
      <c r="J32" s="1">
        <f>M23</f>
        <v>10</v>
      </c>
      <c r="K32" s="1">
        <f t="shared" si="1"/>
        <v>11</v>
      </c>
    </row>
    <row r="33" spans="9:11" ht="15.75" thickBot="1">
      <c r="I33" s="86" t="s">
        <v>9</v>
      </c>
      <c r="J33" s="1">
        <f>N23</f>
        <v>3</v>
      </c>
      <c r="K33" s="1">
        <f t="shared" si="1"/>
        <v>6</v>
      </c>
    </row>
    <row r="34" spans="9:11" ht="15.75" thickBot="1">
      <c r="I34" s="86" t="s">
        <v>10</v>
      </c>
      <c r="J34" s="1">
        <f>O23</f>
        <v>3</v>
      </c>
      <c r="K34" s="1">
        <f t="shared" si="1"/>
        <v>2</v>
      </c>
    </row>
    <row r="35" spans="9:11" ht="15.75" thickBot="1">
      <c r="I35" s="86" t="s">
        <v>11</v>
      </c>
      <c r="J35" s="1">
        <f>P23</f>
        <v>3</v>
      </c>
      <c r="K35" s="1">
        <f t="shared" si="1"/>
        <v>1</v>
      </c>
    </row>
    <row r="36" spans="9:11" ht="15.75" thickBot="1">
      <c r="I36" s="86" t="s">
        <v>12</v>
      </c>
      <c r="J36" s="1">
        <f>Q23</f>
        <v>2</v>
      </c>
      <c r="K36" s="1">
        <f t="shared" si="1"/>
        <v>4</v>
      </c>
    </row>
    <row r="37" spans="9:11" ht="15.75" thickBot="1">
      <c r="I37" s="86" t="s">
        <v>13</v>
      </c>
      <c r="J37" s="1">
        <f>R23</f>
        <v>0</v>
      </c>
      <c r="K37" s="1">
        <f t="shared" si="1"/>
        <v>2</v>
      </c>
    </row>
    <row r="38" spans="9:11" ht="15.75" thickBot="1">
      <c r="I38" s="86" t="s">
        <v>14</v>
      </c>
      <c r="J38" s="1">
        <f>S23</f>
        <v>1</v>
      </c>
      <c r="K38" s="1">
        <f>U18+U19+U20+U21+U22</f>
        <v>2</v>
      </c>
    </row>
    <row r="39" spans="9:11">
      <c r="J39" s="1">
        <f>SUM(J29:J38)</f>
        <v>60</v>
      </c>
      <c r="K39" s="1">
        <f>SUM(K29:K38)</f>
        <v>62</v>
      </c>
    </row>
  </sheetData>
  <mergeCells count="7">
    <mergeCell ref="I7:I8"/>
    <mergeCell ref="J7:U7"/>
    <mergeCell ref="V7:V8"/>
    <mergeCell ref="I1:V1"/>
    <mergeCell ref="I2:V2"/>
    <mergeCell ref="I3:V3"/>
    <mergeCell ref="I4:V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37:N37"/>
  <sheetViews>
    <sheetView rightToLeft="1" view="pageBreakPreview" topLeftCell="A4" zoomScaleNormal="100" zoomScaleSheetLayoutView="100" workbookViewId="0">
      <selection activeCell="M18" sqref="M18"/>
    </sheetView>
  </sheetViews>
  <sheetFormatPr defaultColWidth="9.140625" defaultRowHeight="12.75"/>
  <cols>
    <col min="1" max="16384" width="9.140625" style="1"/>
  </cols>
  <sheetData>
    <row r="37" spans="1:14" ht="15.75">
      <c r="A37" s="1038" t="s">
        <v>375</v>
      </c>
      <c r="B37" s="1038"/>
      <c r="C37" s="1038"/>
      <c r="D37" s="1038"/>
      <c r="E37" s="1038"/>
      <c r="F37" s="1038"/>
      <c r="G37" s="1038"/>
      <c r="H37" s="1038"/>
      <c r="I37" s="1038"/>
      <c r="J37" s="1038"/>
      <c r="K37" s="1038"/>
      <c r="L37" s="1038"/>
      <c r="M37" s="1038"/>
      <c r="N37" s="1038"/>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V38"/>
  <sheetViews>
    <sheetView rightToLeft="1" view="pageBreakPreview" topLeftCell="A15" zoomScaleNormal="100" zoomScaleSheetLayoutView="100" workbookViewId="0">
      <selection activeCell="B37" sqref="B37"/>
    </sheetView>
  </sheetViews>
  <sheetFormatPr defaultColWidth="9.140625" defaultRowHeight="12.75"/>
  <cols>
    <col min="1" max="1" width="19.42578125" style="1" customWidth="1"/>
    <col min="2" max="2" width="7" style="1" customWidth="1"/>
    <col min="3" max="3" width="7.85546875" style="1" customWidth="1"/>
    <col min="4" max="4" width="8.140625" style="1" customWidth="1"/>
    <col min="5" max="5" width="7.85546875" style="1" customWidth="1"/>
    <col min="6" max="6" width="8.5703125" style="1" customWidth="1"/>
    <col min="7" max="7" width="7.85546875" style="1" customWidth="1"/>
    <col min="8" max="10" width="8" style="1" customWidth="1"/>
    <col min="11" max="11" width="6.42578125" style="1" customWidth="1"/>
    <col min="12" max="12" width="10.140625" style="1" customWidth="1"/>
    <col min="13" max="13" width="8.5703125" style="1" customWidth="1"/>
    <col min="14" max="14" width="21" style="1" customWidth="1"/>
    <col min="15" max="16384" width="9.140625" style="1"/>
  </cols>
  <sheetData>
    <row r="1" spans="1:22" s="2" customFormat="1" ht="21.75" customHeight="1">
      <c r="A1" s="1193" t="s">
        <v>374</v>
      </c>
      <c r="B1" s="1193"/>
      <c r="C1" s="1193"/>
      <c r="D1" s="1193"/>
      <c r="E1" s="1193"/>
      <c r="F1" s="1193"/>
      <c r="G1" s="1193"/>
      <c r="H1" s="1193"/>
      <c r="I1" s="1009"/>
      <c r="J1" s="1009"/>
      <c r="K1" s="1009"/>
      <c r="L1" s="1009"/>
      <c r="M1" s="1009"/>
      <c r="N1" s="1009"/>
      <c r="O1" s="382"/>
      <c r="P1" s="382"/>
      <c r="Q1" s="382"/>
      <c r="R1" s="382"/>
      <c r="S1" s="382"/>
      <c r="T1" s="382"/>
      <c r="U1" s="382"/>
      <c r="V1" s="382"/>
    </row>
    <row r="2" spans="1:22" s="2" customFormat="1" ht="15.75" customHeight="1">
      <c r="A2" s="1194" t="s">
        <v>373</v>
      </c>
      <c r="B2" s="1194"/>
      <c r="C2" s="1194"/>
      <c r="D2" s="1194"/>
      <c r="E2" s="1194"/>
      <c r="F2" s="1194"/>
      <c r="G2" s="1194"/>
      <c r="H2" s="1194"/>
      <c r="I2" s="1036"/>
      <c r="J2" s="1036"/>
      <c r="K2" s="1036"/>
      <c r="L2" s="1036"/>
      <c r="M2" s="1036"/>
      <c r="N2" s="1036"/>
      <c r="O2" s="382"/>
      <c r="P2" s="382"/>
      <c r="Q2" s="382"/>
      <c r="R2" s="382"/>
      <c r="S2" s="382"/>
      <c r="T2" s="382"/>
      <c r="U2" s="382"/>
      <c r="V2" s="382"/>
    </row>
    <row r="3" spans="1:22" s="2" customFormat="1" ht="18" customHeight="1">
      <c r="A3" s="1195">
        <v>2019</v>
      </c>
      <c r="B3" s="1195"/>
      <c r="C3" s="1195"/>
      <c r="D3" s="1195"/>
      <c r="E3" s="1195"/>
      <c r="F3" s="1195"/>
      <c r="G3" s="1195"/>
      <c r="H3" s="1195"/>
      <c r="I3" s="1037"/>
      <c r="J3" s="1037"/>
      <c r="K3" s="1037"/>
      <c r="L3" s="1037"/>
      <c r="M3" s="1037"/>
      <c r="N3" s="1037"/>
      <c r="O3" s="383"/>
      <c r="P3" s="383"/>
      <c r="Q3" s="383"/>
      <c r="R3" s="383"/>
      <c r="S3" s="382"/>
      <c r="T3" s="382"/>
      <c r="U3" s="382"/>
      <c r="V3" s="382"/>
    </row>
    <row r="4" spans="1:22" s="2" customFormat="1" ht="15.75">
      <c r="A4" s="1195" t="s">
        <v>376</v>
      </c>
      <c r="B4" s="1195"/>
      <c r="C4" s="1195"/>
      <c r="D4" s="1195"/>
      <c r="E4" s="1195"/>
      <c r="F4" s="1195"/>
      <c r="G4" s="1195"/>
      <c r="H4" s="1195"/>
      <c r="I4" s="1037"/>
      <c r="J4" s="1037"/>
      <c r="K4" s="1037"/>
      <c r="L4" s="1037"/>
      <c r="M4" s="1037"/>
      <c r="N4" s="1037"/>
      <c r="O4" s="382"/>
      <c r="P4" s="382"/>
      <c r="Q4" s="382"/>
      <c r="R4" s="382"/>
      <c r="S4" s="382"/>
      <c r="T4" s="382"/>
      <c r="U4" s="382"/>
      <c r="V4" s="382"/>
    </row>
    <row r="5" spans="1:22" s="2" customFormat="1" ht="15.75">
      <c r="A5" s="355"/>
      <c r="B5" s="355"/>
      <c r="C5" s="355"/>
      <c r="D5" s="355"/>
      <c r="E5" s="355"/>
      <c r="F5" s="355"/>
      <c r="G5" s="355"/>
      <c r="H5" s="355"/>
      <c r="I5" s="361"/>
      <c r="J5" s="361"/>
      <c r="K5" s="361"/>
      <c r="L5" s="361"/>
      <c r="M5" s="361"/>
      <c r="N5" s="361"/>
      <c r="O5" s="382"/>
      <c r="P5" s="382"/>
      <c r="Q5" s="382"/>
      <c r="R5" s="382"/>
      <c r="S5" s="382"/>
      <c r="T5" s="382"/>
      <c r="U5" s="382"/>
      <c r="V5" s="382"/>
    </row>
    <row r="6" spans="1:22" ht="15.75">
      <c r="A6" s="4" t="s">
        <v>426</v>
      </c>
      <c r="B6" s="5"/>
      <c r="C6" s="5"/>
      <c r="D6" s="5"/>
      <c r="E6" s="5"/>
      <c r="F6" s="5"/>
      <c r="G6" s="5"/>
      <c r="H6" s="5"/>
      <c r="I6" s="377"/>
      <c r="J6" s="377"/>
      <c r="K6" s="377"/>
      <c r="L6" s="377"/>
      <c r="M6" s="377"/>
      <c r="N6" s="375" t="s">
        <v>427</v>
      </c>
      <c r="O6" s="95"/>
      <c r="P6" s="95"/>
      <c r="Q6" s="95"/>
      <c r="R6" s="95"/>
      <c r="S6" s="95"/>
      <c r="T6" s="95"/>
      <c r="U6" s="95"/>
      <c r="V6" s="95"/>
    </row>
    <row r="7" spans="1:22" ht="26.25" customHeight="1">
      <c r="A7" s="1188" t="s">
        <v>159</v>
      </c>
      <c r="B7" s="1051" t="s">
        <v>136</v>
      </c>
      <c r="C7" s="1190"/>
      <c r="D7" s="1190"/>
      <c r="E7" s="1190"/>
      <c r="F7" s="1190"/>
      <c r="G7" s="1190"/>
      <c r="H7" s="1190"/>
      <c r="I7" s="1190"/>
      <c r="J7" s="1190"/>
      <c r="K7" s="1190"/>
      <c r="L7" s="1190"/>
      <c r="M7" s="1052"/>
      <c r="N7" s="1191" t="s">
        <v>350</v>
      </c>
    </row>
    <row r="8" spans="1:22" ht="44.25" customHeight="1">
      <c r="A8" s="1189"/>
      <c r="B8" s="884">
        <v>-20</v>
      </c>
      <c r="C8" s="884" t="s">
        <v>128</v>
      </c>
      <c r="D8" s="884" t="s">
        <v>127</v>
      </c>
      <c r="E8" s="884" t="s">
        <v>126</v>
      </c>
      <c r="F8" s="884" t="s">
        <v>125</v>
      </c>
      <c r="G8" s="884" t="s">
        <v>124</v>
      </c>
      <c r="H8" s="884" t="s">
        <v>123</v>
      </c>
      <c r="I8" s="884" t="s">
        <v>122</v>
      </c>
      <c r="J8" s="884" t="s">
        <v>121</v>
      </c>
      <c r="K8" s="884" t="s">
        <v>133</v>
      </c>
      <c r="L8" s="328" t="s">
        <v>655</v>
      </c>
      <c r="M8" s="325" t="s">
        <v>605</v>
      </c>
      <c r="N8" s="1192"/>
    </row>
    <row r="9" spans="1:22" ht="18" customHeight="1" thickBot="1">
      <c r="A9" s="777" t="s">
        <v>437</v>
      </c>
      <c r="B9" s="81">
        <v>0</v>
      </c>
      <c r="C9" s="81">
        <v>0</v>
      </c>
      <c r="D9" s="81">
        <v>0</v>
      </c>
      <c r="E9" s="81">
        <v>0</v>
      </c>
      <c r="F9" s="81">
        <v>0</v>
      </c>
      <c r="G9" s="81">
        <v>0</v>
      </c>
      <c r="H9" s="81">
        <v>0</v>
      </c>
      <c r="I9" s="81">
        <v>0</v>
      </c>
      <c r="J9" s="81">
        <v>0</v>
      </c>
      <c r="K9" s="81">
        <v>0</v>
      </c>
      <c r="L9" s="81">
        <v>1</v>
      </c>
      <c r="M9" s="7">
        <f>SUM(Table_Default__XLS_TAB_39_2[[#This Row],[AGE_LEVEL_LESS_20]:[AGE_LEVEL_NOT_STATED]])</f>
        <v>1</v>
      </c>
      <c r="N9" s="103" t="s">
        <v>437</v>
      </c>
    </row>
    <row r="10" spans="1:22" ht="18" customHeight="1" thickBot="1">
      <c r="A10" s="777" t="s">
        <v>128</v>
      </c>
      <c r="B10" s="81">
        <v>0</v>
      </c>
      <c r="C10" s="81">
        <v>11</v>
      </c>
      <c r="D10" s="81">
        <v>6</v>
      </c>
      <c r="E10" s="81">
        <v>0</v>
      </c>
      <c r="F10" s="81">
        <v>0</v>
      </c>
      <c r="G10" s="81">
        <v>0</v>
      </c>
      <c r="H10" s="81">
        <v>0</v>
      </c>
      <c r="I10" s="81">
        <v>0</v>
      </c>
      <c r="J10" s="81">
        <v>0</v>
      </c>
      <c r="K10" s="81">
        <v>0</v>
      </c>
      <c r="L10" s="81">
        <v>1</v>
      </c>
      <c r="M10" s="7">
        <f>SUM(Table_Default__XLS_TAB_39_2[[#This Row],[AGE_LEVEL_LESS_20]:[AGE_LEVEL_NOT_STATED]])</f>
        <v>18</v>
      </c>
      <c r="N10" s="103" t="s">
        <v>128</v>
      </c>
    </row>
    <row r="11" spans="1:22" ht="18" customHeight="1" thickBot="1">
      <c r="A11" s="777" t="s">
        <v>127</v>
      </c>
      <c r="B11" s="81">
        <v>0</v>
      </c>
      <c r="C11" s="81">
        <v>11</v>
      </c>
      <c r="D11" s="81">
        <v>24</v>
      </c>
      <c r="E11" s="81">
        <v>8</v>
      </c>
      <c r="F11" s="81">
        <v>0</v>
      </c>
      <c r="G11" s="81">
        <v>0</v>
      </c>
      <c r="H11" s="81">
        <v>0</v>
      </c>
      <c r="I11" s="81">
        <v>0</v>
      </c>
      <c r="J11" s="81">
        <v>0</v>
      </c>
      <c r="K11" s="81">
        <v>0</v>
      </c>
      <c r="L11" s="81">
        <v>3</v>
      </c>
      <c r="M11" s="7">
        <f>SUM(Table_Default__XLS_TAB_39_2[[#This Row],[AGE_LEVEL_LESS_20]:[AGE_LEVEL_NOT_STATED]])</f>
        <v>46</v>
      </c>
      <c r="N11" s="103" t="s">
        <v>127</v>
      </c>
    </row>
    <row r="12" spans="1:22" ht="18" customHeight="1" thickBot="1">
      <c r="A12" s="777" t="s">
        <v>126</v>
      </c>
      <c r="B12" s="81">
        <v>0</v>
      </c>
      <c r="C12" s="81">
        <v>0</v>
      </c>
      <c r="D12" s="81">
        <v>7</v>
      </c>
      <c r="E12" s="81">
        <v>17</v>
      </c>
      <c r="F12" s="81">
        <v>2</v>
      </c>
      <c r="G12" s="81">
        <v>1</v>
      </c>
      <c r="H12" s="81">
        <v>0</v>
      </c>
      <c r="I12" s="81">
        <v>0</v>
      </c>
      <c r="J12" s="81">
        <v>0</v>
      </c>
      <c r="K12" s="81">
        <v>0</v>
      </c>
      <c r="L12" s="81">
        <v>3</v>
      </c>
      <c r="M12" s="7">
        <f>SUM(Table_Default__XLS_TAB_39_2[[#This Row],[AGE_LEVEL_LESS_20]:[AGE_LEVEL_NOT_STATED]])</f>
        <v>30</v>
      </c>
      <c r="N12" s="103" t="s">
        <v>126</v>
      </c>
    </row>
    <row r="13" spans="1:22" ht="18" customHeight="1" thickBot="1">
      <c r="A13" s="777" t="s">
        <v>125</v>
      </c>
      <c r="B13" s="81">
        <v>0</v>
      </c>
      <c r="C13" s="81">
        <v>0</v>
      </c>
      <c r="D13" s="81">
        <v>5</v>
      </c>
      <c r="E13" s="81">
        <v>10</v>
      </c>
      <c r="F13" s="81">
        <v>7</v>
      </c>
      <c r="G13" s="81">
        <v>3</v>
      </c>
      <c r="H13" s="81">
        <v>1</v>
      </c>
      <c r="I13" s="81">
        <v>1</v>
      </c>
      <c r="J13" s="81">
        <v>0</v>
      </c>
      <c r="K13" s="81">
        <v>0</v>
      </c>
      <c r="L13" s="81">
        <v>1</v>
      </c>
      <c r="M13" s="7">
        <f>SUM(Table_Default__XLS_TAB_39_2[[#This Row],[AGE_LEVEL_LESS_20]:[AGE_LEVEL_NOT_STATED]])</f>
        <v>28</v>
      </c>
      <c r="N13" s="103" t="s">
        <v>125</v>
      </c>
    </row>
    <row r="14" spans="1:22" ht="18" customHeight="1" thickBot="1">
      <c r="A14" s="777" t="s">
        <v>124</v>
      </c>
      <c r="B14" s="81">
        <v>0</v>
      </c>
      <c r="C14" s="81">
        <v>0</v>
      </c>
      <c r="D14" s="81">
        <v>1</v>
      </c>
      <c r="E14" s="81">
        <v>3</v>
      </c>
      <c r="F14" s="81">
        <v>4</v>
      </c>
      <c r="G14" s="81">
        <v>1</v>
      </c>
      <c r="H14" s="81">
        <v>1</v>
      </c>
      <c r="I14" s="81">
        <v>0</v>
      </c>
      <c r="J14" s="81">
        <v>0</v>
      </c>
      <c r="K14" s="81">
        <v>0</v>
      </c>
      <c r="L14" s="81">
        <v>2</v>
      </c>
      <c r="M14" s="7">
        <f>SUM(Table_Default__XLS_TAB_39_2[[#This Row],[AGE_LEVEL_LESS_20]:[AGE_LEVEL_NOT_STATED]])</f>
        <v>12</v>
      </c>
      <c r="N14" s="103" t="s">
        <v>124</v>
      </c>
    </row>
    <row r="15" spans="1:22" ht="18" customHeight="1" thickBot="1">
      <c r="A15" s="777" t="s">
        <v>123</v>
      </c>
      <c r="B15" s="81">
        <v>0</v>
      </c>
      <c r="C15" s="81">
        <v>0</v>
      </c>
      <c r="D15" s="81">
        <v>1</v>
      </c>
      <c r="E15" s="81">
        <v>0</v>
      </c>
      <c r="F15" s="81">
        <v>0</v>
      </c>
      <c r="G15" s="81">
        <v>3</v>
      </c>
      <c r="H15" s="81">
        <v>1</v>
      </c>
      <c r="I15" s="81">
        <v>0</v>
      </c>
      <c r="J15" s="81">
        <v>0</v>
      </c>
      <c r="K15" s="81">
        <v>0</v>
      </c>
      <c r="L15" s="81">
        <v>0</v>
      </c>
      <c r="M15" s="7">
        <f>SUM(Table_Default__XLS_TAB_39_2[[#This Row],[AGE_LEVEL_LESS_20]:[AGE_LEVEL_NOT_STATED]])</f>
        <v>5</v>
      </c>
      <c r="N15" s="103" t="s">
        <v>123</v>
      </c>
    </row>
    <row r="16" spans="1:22" ht="18" customHeight="1" thickBot="1">
      <c r="A16" s="777" t="s">
        <v>122</v>
      </c>
      <c r="B16" s="81">
        <v>0</v>
      </c>
      <c r="C16" s="81">
        <v>0</v>
      </c>
      <c r="D16" s="81">
        <v>0</v>
      </c>
      <c r="E16" s="81">
        <v>0</v>
      </c>
      <c r="F16" s="81">
        <v>1</v>
      </c>
      <c r="G16" s="81">
        <v>0</v>
      </c>
      <c r="H16" s="81">
        <v>1</v>
      </c>
      <c r="I16" s="81">
        <v>2</v>
      </c>
      <c r="J16" s="81">
        <v>0</v>
      </c>
      <c r="K16" s="81">
        <v>0</v>
      </c>
      <c r="L16" s="81">
        <v>0</v>
      </c>
      <c r="M16" s="7">
        <f>SUM(Table_Default__XLS_TAB_39_2[[#This Row],[AGE_LEVEL_LESS_20]:[AGE_LEVEL_NOT_STATED]])</f>
        <v>4</v>
      </c>
      <c r="N16" s="103" t="s">
        <v>122</v>
      </c>
    </row>
    <row r="17" spans="1:14" ht="18" customHeight="1" thickBot="1">
      <c r="A17" s="777" t="s">
        <v>121</v>
      </c>
      <c r="B17" s="81">
        <v>0</v>
      </c>
      <c r="C17" s="81">
        <v>0</v>
      </c>
      <c r="D17" s="81">
        <v>0</v>
      </c>
      <c r="E17" s="81">
        <v>0</v>
      </c>
      <c r="F17" s="81">
        <v>0</v>
      </c>
      <c r="G17" s="81">
        <v>1</v>
      </c>
      <c r="H17" s="81">
        <v>0</v>
      </c>
      <c r="I17" s="81">
        <v>2</v>
      </c>
      <c r="J17" s="81">
        <v>2</v>
      </c>
      <c r="K17" s="81">
        <v>0</v>
      </c>
      <c r="L17" s="81">
        <v>1</v>
      </c>
      <c r="M17" s="7">
        <f>SUM(Table_Default__XLS_TAB_39_2[[#This Row],[AGE_LEVEL_LESS_20]:[AGE_LEVEL_NOT_STATED]])</f>
        <v>6</v>
      </c>
      <c r="N17" s="103" t="s">
        <v>121</v>
      </c>
    </row>
    <row r="18" spans="1:14" ht="18" customHeight="1" thickBot="1">
      <c r="A18" s="777" t="s">
        <v>120</v>
      </c>
      <c r="B18" s="81">
        <v>0</v>
      </c>
      <c r="C18" s="81">
        <v>0</v>
      </c>
      <c r="D18" s="81">
        <v>0</v>
      </c>
      <c r="E18" s="81">
        <v>0</v>
      </c>
      <c r="F18" s="81">
        <v>0</v>
      </c>
      <c r="G18" s="81">
        <v>0</v>
      </c>
      <c r="H18" s="81">
        <v>0</v>
      </c>
      <c r="I18" s="81">
        <v>0</v>
      </c>
      <c r="J18" s="81">
        <v>0</v>
      </c>
      <c r="K18" s="81">
        <v>0</v>
      </c>
      <c r="L18" s="81">
        <v>0</v>
      </c>
      <c r="M18" s="7">
        <f>SUM(Table_Default__XLS_TAB_39_2[[#This Row],[AGE_LEVEL_LESS_20]:[AGE_LEVEL_NOT_STATED]])</f>
        <v>0</v>
      </c>
      <c r="N18" s="103" t="s">
        <v>120</v>
      </c>
    </row>
    <row r="19" spans="1:14" ht="18" customHeight="1" thickBot="1">
      <c r="A19" s="777" t="s">
        <v>119</v>
      </c>
      <c r="B19" s="81">
        <v>0</v>
      </c>
      <c r="C19" s="81">
        <v>0</v>
      </c>
      <c r="D19" s="81">
        <v>0</v>
      </c>
      <c r="E19" s="81">
        <v>0</v>
      </c>
      <c r="F19" s="81">
        <v>0</v>
      </c>
      <c r="G19" s="81">
        <v>1</v>
      </c>
      <c r="H19" s="81">
        <v>0</v>
      </c>
      <c r="I19" s="81">
        <v>0</v>
      </c>
      <c r="J19" s="81">
        <v>0</v>
      </c>
      <c r="K19" s="81">
        <v>0</v>
      </c>
      <c r="L19" s="81">
        <v>0</v>
      </c>
      <c r="M19" s="7">
        <f>SUM(Table_Default__XLS_TAB_39_2[[#This Row],[AGE_LEVEL_LESS_20]:[AGE_LEVEL_NOT_STATED]])</f>
        <v>1</v>
      </c>
      <c r="N19" s="103" t="s">
        <v>119</v>
      </c>
    </row>
    <row r="20" spans="1:14" ht="18" customHeight="1" thickBot="1">
      <c r="A20" s="777" t="s">
        <v>118</v>
      </c>
      <c r="B20" s="81">
        <v>0</v>
      </c>
      <c r="C20" s="81">
        <v>0</v>
      </c>
      <c r="D20" s="81">
        <v>0</v>
      </c>
      <c r="E20" s="81">
        <v>0</v>
      </c>
      <c r="F20" s="81">
        <v>0</v>
      </c>
      <c r="G20" s="81">
        <v>1</v>
      </c>
      <c r="H20" s="81">
        <v>0</v>
      </c>
      <c r="I20" s="81">
        <v>0</v>
      </c>
      <c r="J20" s="81">
        <v>0</v>
      </c>
      <c r="K20" s="81">
        <v>1</v>
      </c>
      <c r="L20" s="81">
        <v>0</v>
      </c>
      <c r="M20" s="7">
        <f>SUM(Table_Default__XLS_TAB_39_2[[#This Row],[AGE_LEVEL_LESS_20]:[AGE_LEVEL_NOT_STATED]])</f>
        <v>2</v>
      </c>
      <c r="N20" s="103" t="s">
        <v>118</v>
      </c>
    </row>
    <row r="21" spans="1:14" ht="18" customHeight="1" thickBot="1">
      <c r="A21" s="777" t="s">
        <v>117</v>
      </c>
      <c r="B21" s="81">
        <v>0</v>
      </c>
      <c r="C21" s="81">
        <v>0</v>
      </c>
      <c r="D21" s="81">
        <v>0</v>
      </c>
      <c r="E21" s="81">
        <v>0</v>
      </c>
      <c r="F21" s="81">
        <v>0</v>
      </c>
      <c r="G21" s="81">
        <v>0</v>
      </c>
      <c r="H21" s="81">
        <v>0</v>
      </c>
      <c r="I21" s="81">
        <v>0</v>
      </c>
      <c r="J21" s="81">
        <v>1</v>
      </c>
      <c r="K21" s="81">
        <v>0</v>
      </c>
      <c r="L21" s="81">
        <v>0</v>
      </c>
      <c r="M21" s="7">
        <f>SUM(Table_Default__XLS_TAB_39_2[[#This Row],[AGE_LEVEL_LESS_20]:[AGE_LEVEL_NOT_STATED]])</f>
        <v>1</v>
      </c>
      <c r="N21" s="103" t="s">
        <v>117</v>
      </c>
    </row>
    <row r="22" spans="1:14" ht="18" customHeight="1" thickBot="1">
      <c r="A22" s="854" t="s">
        <v>15</v>
      </c>
      <c r="B22" s="282">
        <v>0</v>
      </c>
      <c r="C22" s="282">
        <v>0</v>
      </c>
      <c r="D22" s="282">
        <v>0</v>
      </c>
      <c r="E22" s="282">
        <v>0</v>
      </c>
      <c r="F22" s="282">
        <v>0</v>
      </c>
      <c r="G22" s="282">
        <v>0</v>
      </c>
      <c r="H22" s="282">
        <v>0</v>
      </c>
      <c r="I22" s="282">
        <v>0</v>
      </c>
      <c r="J22" s="282">
        <v>0</v>
      </c>
      <c r="K22" s="282">
        <v>0</v>
      </c>
      <c r="L22" s="282">
        <v>0</v>
      </c>
      <c r="M22" s="7">
        <f>SUM(Table_Default__XLS_TAB_39_2[[#This Row],[AGE_LEVEL_LESS_20]:[AGE_LEVEL_NOT_STATED]])</f>
        <v>0</v>
      </c>
      <c r="N22" s="855" t="s">
        <v>16</v>
      </c>
    </row>
    <row r="23" spans="1:14" ht="20.100000000000001" customHeight="1">
      <c r="A23" s="98" t="s">
        <v>17</v>
      </c>
      <c r="B23" s="121">
        <f>SUM(B9:B22)</f>
        <v>0</v>
      </c>
      <c r="C23" s="121">
        <f>SUM(C9:C22)</f>
        <v>22</v>
      </c>
      <c r="D23" s="121">
        <f t="shared" ref="D23:L23" si="0">SUM(D9:D22)</f>
        <v>44</v>
      </c>
      <c r="E23" s="121">
        <f t="shared" si="0"/>
        <v>38</v>
      </c>
      <c r="F23" s="121">
        <f t="shared" si="0"/>
        <v>14</v>
      </c>
      <c r="G23" s="121">
        <f t="shared" si="0"/>
        <v>11</v>
      </c>
      <c r="H23" s="121">
        <f t="shared" si="0"/>
        <v>4</v>
      </c>
      <c r="I23" s="121">
        <f t="shared" si="0"/>
        <v>5</v>
      </c>
      <c r="J23" s="121">
        <f t="shared" si="0"/>
        <v>3</v>
      </c>
      <c r="K23" s="121">
        <f t="shared" si="0"/>
        <v>1</v>
      </c>
      <c r="L23" s="121">
        <f t="shared" si="0"/>
        <v>12</v>
      </c>
      <c r="M23" s="121">
        <f>SUM(M9:M22)</f>
        <v>154</v>
      </c>
      <c r="N23" s="99" t="s">
        <v>56</v>
      </c>
    </row>
    <row r="26" spans="1:14" ht="53.25" customHeight="1" thickBot="1">
      <c r="B26" s="13" t="s">
        <v>371</v>
      </c>
      <c r="C26" s="13" t="s">
        <v>370</v>
      </c>
    </row>
    <row r="27" spans="1:14" ht="15.75" thickBot="1">
      <c r="A27" s="86">
        <v>-20</v>
      </c>
      <c r="B27" s="1">
        <f>B23</f>
        <v>0</v>
      </c>
      <c r="C27" s="1">
        <f t="shared" ref="C27:C35" si="1">M9</f>
        <v>1</v>
      </c>
    </row>
    <row r="28" spans="1:14" ht="15.75" thickBot="1">
      <c r="A28" s="86" t="s">
        <v>6</v>
      </c>
      <c r="B28" s="87">
        <f>C23</f>
        <v>22</v>
      </c>
      <c r="C28" s="13">
        <f t="shared" si="1"/>
        <v>18</v>
      </c>
    </row>
    <row r="29" spans="1:14" ht="15.75" thickBot="1">
      <c r="A29" s="86" t="s">
        <v>7</v>
      </c>
      <c r="B29" s="1">
        <f>D23</f>
        <v>44</v>
      </c>
      <c r="C29" s="1">
        <f t="shared" si="1"/>
        <v>46</v>
      </c>
    </row>
    <row r="30" spans="1:14" ht="15.75" thickBot="1">
      <c r="A30" s="86" t="s">
        <v>8</v>
      </c>
      <c r="B30" s="1">
        <f>E23</f>
        <v>38</v>
      </c>
      <c r="C30" s="1">
        <f t="shared" si="1"/>
        <v>30</v>
      </c>
    </row>
    <row r="31" spans="1:14" ht="15.75" thickBot="1">
      <c r="A31" s="86" t="s">
        <v>9</v>
      </c>
      <c r="B31" s="1">
        <f>F23</f>
        <v>14</v>
      </c>
      <c r="C31" s="1">
        <f t="shared" si="1"/>
        <v>28</v>
      </c>
    </row>
    <row r="32" spans="1:14" ht="15.75" thickBot="1">
      <c r="A32" s="86" t="s">
        <v>10</v>
      </c>
      <c r="B32" s="1">
        <f>G23</f>
        <v>11</v>
      </c>
      <c r="C32" s="1">
        <f t="shared" si="1"/>
        <v>12</v>
      </c>
    </row>
    <row r="33" spans="1:4" ht="15.75" thickBot="1">
      <c r="A33" s="86" t="s">
        <v>11</v>
      </c>
      <c r="B33" s="1">
        <f>H23</f>
        <v>4</v>
      </c>
      <c r="C33" s="1">
        <f t="shared" si="1"/>
        <v>5</v>
      </c>
    </row>
    <row r="34" spans="1:4" ht="15.75" thickBot="1">
      <c r="A34" s="86" t="s">
        <v>12</v>
      </c>
      <c r="B34" s="1">
        <f>I23</f>
        <v>5</v>
      </c>
      <c r="C34" s="1">
        <f t="shared" si="1"/>
        <v>4</v>
      </c>
    </row>
    <row r="35" spans="1:4" ht="15.75" thickBot="1">
      <c r="A35" s="86" t="s">
        <v>13</v>
      </c>
      <c r="B35" s="1">
        <f>J23</f>
        <v>3</v>
      </c>
      <c r="C35" s="1">
        <f t="shared" si="1"/>
        <v>6</v>
      </c>
    </row>
    <row r="36" spans="1:4" ht="15.75" thickBot="1">
      <c r="A36" s="86" t="s">
        <v>14</v>
      </c>
      <c r="B36" s="1">
        <f>K23</f>
        <v>1</v>
      </c>
      <c r="C36" s="1">
        <f>SUM(M18:M21)</f>
        <v>4</v>
      </c>
    </row>
    <row r="37" spans="1:4" ht="15.75" thickBot="1">
      <c r="A37" s="86"/>
      <c r="B37" s="1">
        <f>SUM(B27:B36)</f>
        <v>142</v>
      </c>
      <c r="C37" s="1">
        <f>SUM(C27:C36)</f>
        <v>154</v>
      </c>
    </row>
    <row r="38" spans="1:4" ht="15.75" thickBot="1">
      <c r="D38" s="86"/>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6" orientation="landscape" r:id="rId1"/>
  <headerFooter alignWithMargins="0"/>
  <drawing r:id="rId2"/>
  <tableParts count="1">
    <tablePart r:id="rId3"/>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37:N37"/>
  <sheetViews>
    <sheetView rightToLeft="1" view="pageBreakPreview" zoomScaleNormal="100" zoomScaleSheetLayoutView="100" workbookViewId="0">
      <selection activeCell="Q9" sqref="Q9"/>
    </sheetView>
  </sheetViews>
  <sheetFormatPr defaultColWidth="9.140625" defaultRowHeight="12.75"/>
  <cols>
    <col min="1" max="16384" width="9.140625" style="1"/>
  </cols>
  <sheetData>
    <row r="37" spans="1:14" ht="15.75">
      <c r="A37" s="1038" t="s">
        <v>377</v>
      </c>
      <c r="B37" s="1038"/>
      <c r="C37" s="1038"/>
      <c r="D37" s="1038"/>
      <c r="E37" s="1038"/>
      <c r="F37" s="1038"/>
      <c r="G37" s="1038"/>
      <c r="H37" s="1038"/>
      <c r="I37" s="1038"/>
      <c r="J37" s="1038"/>
      <c r="K37" s="1038"/>
      <c r="L37" s="1038"/>
      <c r="M37" s="1038"/>
      <c r="N37" s="1038"/>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V38"/>
  <sheetViews>
    <sheetView rightToLeft="1" view="pageBreakPreview" topLeftCell="A10" zoomScaleNormal="100" zoomScaleSheetLayoutView="100" workbookViewId="0">
      <selection activeCell="C37" sqref="C37"/>
    </sheetView>
  </sheetViews>
  <sheetFormatPr defaultColWidth="9.140625" defaultRowHeight="12.75"/>
  <cols>
    <col min="1" max="1" width="19.42578125" style="1" customWidth="1"/>
    <col min="2" max="2" width="7" style="1" customWidth="1"/>
    <col min="3" max="3" width="7.85546875" style="1" customWidth="1"/>
    <col min="4" max="4" width="8.140625" style="1" customWidth="1"/>
    <col min="5" max="5" width="7.85546875" style="1" customWidth="1"/>
    <col min="6" max="6" width="8.5703125" style="1" customWidth="1"/>
    <col min="7" max="7" width="7.85546875" style="1" customWidth="1"/>
    <col min="8" max="10" width="8" style="1" customWidth="1"/>
    <col min="11" max="11" width="6.42578125" style="1" customWidth="1"/>
    <col min="12" max="12" width="10.140625" style="1" customWidth="1"/>
    <col min="13" max="13" width="8.5703125" style="1" customWidth="1"/>
    <col min="14" max="14" width="21" style="1" customWidth="1"/>
    <col min="15" max="16384" width="9.140625" style="1"/>
  </cols>
  <sheetData>
    <row r="1" spans="1:22" s="2" customFormat="1" ht="21.75" customHeight="1">
      <c r="A1" s="1193" t="s">
        <v>374</v>
      </c>
      <c r="B1" s="1193"/>
      <c r="C1" s="1193"/>
      <c r="D1" s="1193"/>
      <c r="E1" s="1193"/>
      <c r="F1" s="1193"/>
      <c r="G1" s="1193"/>
      <c r="H1" s="1193"/>
      <c r="I1" s="1009"/>
      <c r="J1" s="1009"/>
      <c r="K1" s="1009"/>
      <c r="L1" s="1009"/>
      <c r="M1" s="1009"/>
      <c r="N1" s="1009"/>
      <c r="O1" s="382"/>
      <c r="P1" s="382"/>
      <c r="Q1" s="382"/>
      <c r="R1" s="382"/>
      <c r="S1" s="382"/>
      <c r="T1" s="382"/>
      <c r="U1" s="382"/>
      <c r="V1" s="382"/>
    </row>
    <row r="2" spans="1:22" s="2" customFormat="1" ht="15.75" customHeight="1">
      <c r="A2" s="1194" t="s">
        <v>373</v>
      </c>
      <c r="B2" s="1194"/>
      <c r="C2" s="1194"/>
      <c r="D2" s="1194"/>
      <c r="E2" s="1194"/>
      <c r="F2" s="1194"/>
      <c r="G2" s="1194"/>
      <c r="H2" s="1194"/>
      <c r="I2" s="1036"/>
      <c r="J2" s="1036"/>
      <c r="K2" s="1036"/>
      <c r="L2" s="1036"/>
      <c r="M2" s="1036"/>
      <c r="N2" s="1036"/>
      <c r="O2" s="382"/>
      <c r="P2" s="382"/>
      <c r="Q2" s="382"/>
      <c r="R2" s="382"/>
      <c r="S2" s="382"/>
      <c r="T2" s="382"/>
      <c r="U2" s="382"/>
      <c r="V2" s="382"/>
    </row>
    <row r="3" spans="1:22" s="2" customFormat="1" ht="18" customHeight="1">
      <c r="A3" s="1195">
        <v>2019</v>
      </c>
      <c r="B3" s="1195"/>
      <c r="C3" s="1195"/>
      <c r="D3" s="1195"/>
      <c r="E3" s="1195"/>
      <c r="F3" s="1195"/>
      <c r="G3" s="1195"/>
      <c r="H3" s="1195"/>
      <c r="I3" s="1037"/>
      <c r="J3" s="1037"/>
      <c r="K3" s="1037"/>
      <c r="L3" s="1037"/>
      <c r="M3" s="1037"/>
      <c r="N3" s="1037"/>
      <c r="O3" s="383"/>
      <c r="P3" s="383"/>
      <c r="Q3" s="383"/>
      <c r="R3" s="383"/>
      <c r="S3" s="382"/>
      <c r="T3" s="382"/>
      <c r="U3" s="382"/>
      <c r="V3" s="382"/>
    </row>
    <row r="4" spans="1:22" s="2" customFormat="1" ht="15.75">
      <c r="A4" s="1195" t="s">
        <v>378</v>
      </c>
      <c r="B4" s="1195"/>
      <c r="C4" s="1195"/>
      <c r="D4" s="1195"/>
      <c r="E4" s="1195"/>
      <c r="F4" s="1195"/>
      <c r="G4" s="1195"/>
      <c r="H4" s="1195"/>
      <c r="I4" s="1037"/>
      <c r="J4" s="1037"/>
      <c r="K4" s="1037"/>
      <c r="L4" s="1037"/>
      <c r="M4" s="1037"/>
      <c r="N4" s="1037"/>
      <c r="O4" s="382"/>
      <c r="P4" s="382"/>
      <c r="Q4" s="382"/>
      <c r="R4" s="382"/>
      <c r="S4" s="382"/>
      <c r="T4" s="382"/>
      <c r="U4" s="382"/>
      <c r="V4" s="382"/>
    </row>
    <row r="5" spans="1:22" s="2" customFormat="1" ht="15.75">
      <c r="A5" s="355"/>
      <c r="B5" s="355"/>
      <c r="C5" s="355"/>
      <c r="D5" s="355"/>
      <c r="E5" s="355"/>
      <c r="F5" s="355"/>
      <c r="G5" s="355"/>
      <c r="H5" s="355"/>
      <c r="I5" s="361"/>
      <c r="J5" s="361"/>
      <c r="K5" s="361"/>
      <c r="L5" s="361"/>
      <c r="M5" s="361"/>
      <c r="N5" s="361"/>
      <c r="O5" s="382"/>
      <c r="P5" s="382"/>
      <c r="Q5" s="382"/>
      <c r="R5" s="382"/>
      <c r="S5" s="382"/>
      <c r="T5" s="382"/>
      <c r="U5" s="382"/>
      <c r="V5" s="382"/>
    </row>
    <row r="6" spans="1:22" ht="15.75">
      <c r="A6" s="4" t="s">
        <v>424</v>
      </c>
      <c r="B6" s="5"/>
      <c r="C6" s="5"/>
      <c r="D6" s="5"/>
      <c r="E6" s="5"/>
      <c r="F6" s="5"/>
      <c r="G6" s="5"/>
      <c r="H6" s="5"/>
      <c r="I6" s="377"/>
      <c r="J6" s="377"/>
      <c r="K6" s="377"/>
      <c r="L6" s="377"/>
      <c r="M6" s="377"/>
      <c r="N6" s="375" t="s">
        <v>425</v>
      </c>
      <c r="O6" s="95"/>
      <c r="P6" s="95"/>
      <c r="Q6" s="95"/>
      <c r="R6" s="95"/>
      <c r="S6" s="95"/>
      <c r="T6" s="95"/>
      <c r="U6" s="95"/>
      <c r="V6" s="95"/>
    </row>
    <row r="7" spans="1:22" ht="26.25" customHeight="1">
      <c r="A7" s="1188" t="s">
        <v>159</v>
      </c>
      <c r="B7" s="1051" t="s">
        <v>136</v>
      </c>
      <c r="C7" s="1190"/>
      <c r="D7" s="1190"/>
      <c r="E7" s="1190"/>
      <c r="F7" s="1190"/>
      <c r="G7" s="1190"/>
      <c r="H7" s="1190"/>
      <c r="I7" s="1190"/>
      <c r="J7" s="1190"/>
      <c r="K7" s="1190"/>
      <c r="L7" s="1190"/>
      <c r="M7" s="1052"/>
      <c r="N7" s="1196" t="s">
        <v>350</v>
      </c>
    </row>
    <row r="8" spans="1:22" ht="44.25" customHeight="1">
      <c r="A8" s="1189"/>
      <c r="B8" s="884">
        <v>-20</v>
      </c>
      <c r="C8" s="884" t="s">
        <v>128</v>
      </c>
      <c r="D8" s="884" t="s">
        <v>127</v>
      </c>
      <c r="E8" s="884" t="s">
        <v>126</v>
      </c>
      <c r="F8" s="884" t="s">
        <v>125</v>
      </c>
      <c r="G8" s="884" t="s">
        <v>124</v>
      </c>
      <c r="H8" s="884" t="s">
        <v>123</v>
      </c>
      <c r="I8" s="884" t="s">
        <v>122</v>
      </c>
      <c r="J8" s="884" t="s">
        <v>121</v>
      </c>
      <c r="K8" s="884" t="s">
        <v>133</v>
      </c>
      <c r="L8" s="328" t="s">
        <v>655</v>
      </c>
      <c r="M8" s="325" t="s">
        <v>605</v>
      </c>
      <c r="N8" s="1197"/>
    </row>
    <row r="9" spans="1:22" ht="18" customHeight="1" thickBot="1">
      <c r="A9" s="777" t="s">
        <v>437</v>
      </c>
      <c r="B9" s="81">
        <v>0</v>
      </c>
      <c r="C9" s="81">
        <v>0</v>
      </c>
      <c r="D9" s="81">
        <v>0</v>
      </c>
      <c r="E9" s="81">
        <v>0</v>
      </c>
      <c r="F9" s="81">
        <v>0</v>
      </c>
      <c r="G9" s="81">
        <v>0</v>
      </c>
      <c r="H9" s="81">
        <v>0</v>
      </c>
      <c r="I9" s="81">
        <v>0</v>
      </c>
      <c r="J9" s="81">
        <v>0</v>
      </c>
      <c r="K9" s="81">
        <v>0</v>
      </c>
      <c r="L9" s="81">
        <v>0</v>
      </c>
      <c r="M9" s="7">
        <f>SUM(Table_Default__XLS_TAB_39_3[[#This Row],[AGE_LEVEL_LESS_20]:[AGE_LEVEL_NOT_STATED]])</f>
        <v>0</v>
      </c>
      <c r="N9" s="103" t="s">
        <v>437</v>
      </c>
    </row>
    <row r="10" spans="1:22" ht="18" customHeight="1" thickBot="1">
      <c r="A10" s="777" t="s">
        <v>128</v>
      </c>
      <c r="B10" s="81">
        <v>3</v>
      </c>
      <c r="C10" s="81">
        <v>36</v>
      </c>
      <c r="D10" s="81">
        <v>20</v>
      </c>
      <c r="E10" s="81">
        <v>3</v>
      </c>
      <c r="F10" s="81">
        <v>0</v>
      </c>
      <c r="G10" s="81">
        <v>0</v>
      </c>
      <c r="H10" s="81">
        <v>0</v>
      </c>
      <c r="I10" s="81">
        <v>0</v>
      </c>
      <c r="J10" s="81">
        <v>0</v>
      </c>
      <c r="K10" s="81">
        <v>0</v>
      </c>
      <c r="L10" s="81">
        <v>1</v>
      </c>
      <c r="M10" s="7">
        <f>SUM(Table_Default__XLS_TAB_39_3[[#This Row],[AGE_LEVEL_LESS_20]:[AGE_LEVEL_NOT_STATED]])</f>
        <v>63</v>
      </c>
      <c r="N10" s="103" t="s">
        <v>128</v>
      </c>
    </row>
    <row r="11" spans="1:22" ht="18" customHeight="1" thickBot="1">
      <c r="A11" s="777" t="s">
        <v>127</v>
      </c>
      <c r="B11" s="81">
        <v>0</v>
      </c>
      <c r="C11" s="81">
        <v>39</v>
      </c>
      <c r="D11" s="81">
        <v>109</v>
      </c>
      <c r="E11" s="81">
        <v>29</v>
      </c>
      <c r="F11" s="81">
        <v>6</v>
      </c>
      <c r="G11" s="81">
        <v>1</v>
      </c>
      <c r="H11" s="81">
        <v>0</v>
      </c>
      <c r="I11" s="81">
        <v>0</v>
      </c>
      <c r="J11" s="81">
        <v>0</v>
      </c>
      <c r="K11" s="81">
        <v>0</v>
      </c>
      <c r="L11" s="81">
        <v>5</v>
      </c>
      <c r="M11" s="7">
        <f>SUM(Table_Default__XLS_TAB_39_3[[#This Row],[AGE_LEVEL_LESS_20]:[AGE_LEVEL_NOT_STATED]])</f>
        <v>189</v>
      </c>
      <c r="N11" s="103" t="s">
        <v>127</v>
      </c>
    </row>
    <row r="12" spans="1:22" ht="18" customHeight="1" thickBot="1">
      <c r="A12" s="777" t="s">
        <v>126</v>
      </c>
      <c r="B12" s="81">
        <v>1</v>
      </c>
      <c r="C12" s="81">
        <v>11</v>
      </c>
      <c r="D12" s="81">
        <v>51</v>
      </c>
      <c r="E12" s="81">
        <v>76</v>
      </c>
      <c r="F12" s="81">
        <v>22</v>
      </c>
      <c r="G12" s="81">
        <v>3</v>
      </c>
      <c r="H12" s="81">
        <v>3</v>
      </c>
      <c r="I12" s="81">
        <v>0</v>
      </c>
      <c r="J12" s="81">
        <v>0</v>
      </c>
      <c r="K12" s="81">
        <v>0</v>
      </c>
      <c r="L12" s="81">
        <v>2</v>
      </c>
      <c r="M12" s="7">
        <f>SUM(Table_Default__XLS_TAB_39_3[[#This Row],[AGE_LEVEL_LESS_20]:[AGE_LEVEL_NOT_STATED]])</f>
        <v>169</v>
      </c>
      <c r="N12" s="103" t="s">
        <v>126</v>
      </c>
    </row>
    <row r="13" spans="1:22" ht="18" customHeight="1" thickBot="1">
      <c r="A13" s="777" t="s">
        <v>125</v>
      </c>
      <c r="B13" s="81">
        <v>0</v>
      </c>
      <c r="C13" s="81">
        <v>1</v>
      </c>
      <c r="D13" s="81">
        <v>12</v>
      </c>
      <c r="E13" s="81">
        <v>43</v>
      </c>
      <c r="F13" s="81">
        <v>45</v>
      </c>
      <c r="G13" s="81">
        <v>21</v>
      </c>
      <c r="H13" s="81">
        <v>4</v>
      </c>
      <c r="I13" s="81">
        <v>0</v>
      </c>
      <c r="J13" s="81">
        <v>0</v>
      </c>
      <c r="K13" s="81">
        <v>0</v>
      </c>
      <c r="L13" s="81">
        <v>5</v>
      </c>
      <c r="M13" s="7">
        <f>SUM(Table_Default__XLS_TAB_39_3[[#This Row],[AGE_LEVEL_LESS_20]:[AGE_LEVEL_NOT_STATED]])</f>
        <v>131</v>
      </c>
      <c r="N13" s="103" t="s">
        <v>125</v>
      </c>
    </row>
    <row r="14" spans="1:22" ht="18" customHeight="1" thickBot="1">
      <c r="A14" s="777" t="s">
        <v>124</v>
      </c>
      <c r="B14" s="81">
        <v>0</v>
      </c>
      <c r="C14" s="81">
        <v>1</v>
      </c>
      <c r="D14" s="81">
        <v>1</v>
      </c>
      <c r="E14" s="81">
        <v>11</v>
      </c>
      <c r="F14" s="81">
        <v>33</v>
      </c>
      <c r="G14" s="81">
        <v>32</v>
      </c>
      <c r="H14" s="81">
        <v>17</v>
      </c>
      <c r="I14" s="81">
        <v>2</v>
      </c>
      <c r="J14" s="81">
        <v>1</v>
      </c>
      <c r="K14" s="81">
        <v>0</v>
      </c>
      <c r="L14" s="81">
        <v>4</v>
      </c>
      <c r="M14" s="7">
        <f>SUM(Table_Default__XLS_TAB_39_3[[#This Row],[AGE_LEVEL_LESS_20]:[AGE_LEVEL_NOT_STATED]])</f>
        <v>102</v>
      </c>
      <c r="N14" s="103" t="s">
        <v>124</v>
      </c>
    </row>
    <row r="15" spans="1:22" ht="18" customHeight="1" thickBot="1">
      <c r="A15" s="777" t="s">
        <v>123</v>
      </c>
      <c r="B15" s="81">
        <v>0</v>
      </c>
      <c r="C15" s="81">
        <v>0</v>
      </c>
      <c r="D15" s="81">
        <v>1</v>
      </c>
      <c r="E15" s="81">
        <v>9</v>
      </c>
      <c r="F15" s="81">
        <v>16</v>
      </c>
      <c r="G15" s="81">
        <v>26</v>
      </c>
      <c r="H15" s="81">
        <v>21</v>
      </c>
      <c r="I15" s="81">
        <v>11</v>
      </c>
      <c r="J15" s="81">
        <v>2</v>
      </c>
      <c r="K15" s="81">
        <v>0</v>
      </c>
      <c r="L15" s="81">
        <v>2</v>
      </c>
      <c r="M15" s="7">
        <f>SUM(Table_Default__XLS_TAB_39_3[[#This Row],[AGE_LEVEL_LESS_20]:[AGE_LEVEL_NOT_STATED]])</f>
        <v>88</v>
      </c>
      <c r="N15" s="103" t="s">
        <v>123</v>
      </c>
    </row>
    <row r="16" spans="1:22" ht="18" customHeight="1" thickBot="1">
      <c r="A16" s="777" t="s">
        <v>122</v>
      </c>
      <c r="B16" s="81">
        <v>1</v>
      </c>
      <c r="C16" s="81">
        <v>0</v>
      </c>
      <c r="D16" s="81">
        <v>0</v>
      </c>
      <c r="E16" s="81">
        <v>6</v>
      </c>
      <c r="F16" s="81">
        <v>8</v>
      </c>
      <c r="G16" s="81">
        <v>10</v>
      </c>
      <c r="H16" s="81">
        <v>16</v>
      </c>
      <c r="I16" s="81">
        <v>17</v>
      </c>
      <c r="J16" s="81">
        <v>7</v>
      </c>
      <c r="K16" s="81">
        <v>1</v>
      </c>
      <c r="L16" s="81">
        <v>3</v>
      </c>
      <c r="M16" s="7">
        <f>SUM(Table_Default__XLS_TAB_39_3[[#This Row],[AGE_LEVEL_LESS_20]:[AGE_LEVEL_NOT_STATED]])</f>
        <v>69</v>
      </c>
      <c r="N16" s="103" t="s">
        <v>122</v>
      </c>
    </row>
    <row r="17" spans="1:14" ht="18" customHeight="1" thickBot="1">
      <c r="A17" s="777" t="s">
        <v>121</v>
      </c>
      <c r="B17" s="81">
        <v>0</v>
      </c>
      <c r="C17" s="81">
        <v>0</v>
      </c>
      <c r="D17" s="81">
        <v>1</v>
      </c>
      <c r="E17" s="81">
        <v>1</v>
      </c>
      <c r="F17" s="81">
        <v>2</v>
      </c>
      <c r="G17" s="81">
        <v>2</v>
      </c>
      <c r="H17" s="81">
        <v>12</v>
      </c>
      <c r="I17" s="81">
        <v>8</v>
      </c>
      <c r="J17" s="81">
        <v>8</v>
      </c>
      <c r="K17" s="81">
        <v>1</v>
      </c>
      <c r="L17" s="81">
        <v>2</v>
      </c>
      <c r="M17" s="7">
        <f>SUM(Table_Default__XLS_TAB_39_3[[#This Row],[AGE_LEVEL_LESS_20]:[AGE_LEVEL_NOT_STATED]])</f>
        <v>37</v>
      </c>
      <c r="N17" s="103" t="s">
        <v>121</v>
      </c>
    </row>
    <row r="18" spans="1:14" ht="18" customHeight="1" thickBot="1">
      <c r="A18" s="777" t="s">
        <v>120</v>
      </c>
      <c r="B18" s="81">
        <v>0</v>
      </c>
      <c r="C18" s="81">
        <v>0</v>
      </c>
      <c r="D18" s="81">
        <v>1</v>
      </c>
      <c r="E18" s="81">
        <v>1</v>
      </c>
      <c r="F18" s="81">
        <v>4</v>
      </c>
      <c r="G18" s="81">
        <v>4</v>
      </c>
      <c r="H18" s="81">
        <v>6</v>
      </c>
      <c r="I18" s="81">
        <v>5</v>
      </c>
      <c r="J18" s="81">
        <v>6</v>
      </c>
      <c r="K18" s="81">
        <v>2</v>
      </c>
      <c r="L18" s="81">
        <v>0</v>
      </c>
      <c r="M18" s="7">
        <f>SUM(Table_Default__XLS_TAB_39_3[[#This Row],[AGE_LEVEL_LESS_20]:[AGE_LEVEL_NOT_STATED]])</f>
        <v>29</v>
      </c>
      <c r="N18" s="103" t="s">
        <v>120</v>
      </c>
    </row>
    <row r="19" spans="1:14" ht="18" customHeight="1" thickBot="1">
      <c r="A19" s="777" t="s">
        <v>119</v>
      </c>
      <c r="B19" s="81">
        <v>1</v>
      </c>
      <c r="C19" s="81">
        <v>0</v>
      </c>
      <c r="D19" s="81">
        <v>0</v>
      </c>
      <c r="E19" s="81">
        <v>0</v>
      </c>
      <c r="F19" s="81">
        <v>0</v>
      </c>
      <c r="G19" s="81">
        <v>0</v>
      </c>
      <c r="H19" s="81">
        <v>0</v>
      </c>
      <c r="I19" s="81">
        <v>4</v>
      </c>
      <c r="J19" s="81">
        <v>3</v>
      </c>
      <c r="K19" s="81">
        <v>5</v>
      </c>
      <c r="L19" s="81">
        <v>1</v>
      </c>
      <c r="M19" s="7">
        <f>SUM(Table_Default__XLS_TAB_39_3[[#This Row],[AGE_LEVEL_LESS_20]:[AGE_LEVEL_NOT_STATED]])</f>
        <v>14</v>
      </c>
      <c r="N19" s="103" t="s">
        <v>119</v>
      </c>
    </row>
    <row r="20" spans="1:14" ht="18" customHeight="1" thickBot="1">
      <c r="A20" s="777" t="s">
        <v>118</v>
      </c>
      <c r="B20" s="81">
        <v>0</v>
      </c>
      <c r="C20" s="81">
        <v>0</v>
      </c>
      <c r="D20" s="81">
        <v>1</v>
      </c>
      <c r="E20" s="81">
        <v>0</v>
      </c>
      <c r="F20" s="81">
        <v>1</v>
      </c>
      <c r="G20" s="81">
        <v>0</v>
      </c>
      <c r="H20" s="81">
        <v>1</v>
      </c>
      <c r="I20" s="81">
        <v>0</v>
      </c>
      <c r="J20" s="81">
        <v>1</v>
      </c>
      <c r="K20" s="81">
        <v>2</v>
      </c>
      <c r="L20" s="81">
        <v>0</v>
      </c>
      <c r="M20" s="7">
        <f>SUM(Table_Default__XLS_TAB_39_3[[#This Row],[AGE_LEVEL_LESS_20]:[AGE_LEVEL_NOT_STATED]])</f>
        <v>6</v>
      </c>
      <c r="N20" s="103" t="s">
        <v>118</v>
      </c>
    </row>
    <row r="21" spans="1:14" ht="18" customHeight="1" thickBot="1">
      <c r="A21" s="777" t="s">
        <v>117</v>
      </c>
      <c r="B21" s="81">
        <v>0</v>
      </c>
      <c r="C21" s="81">
        <v>0</v>
      </c>
      <c r="D21" s="81">
        <v>0</v>
      </c>
      <c r="E21" s="81">
        <v>0</v>
      </c>
      <c r="F21" s="81">
        <v>0</v>
      </c>
      <c r="G21" s="81">
        <v>0</v>
      </c>
      <c r="H21" s="81">
        <v>1</v>
      </c>
      <c r="I21" s="81">
        <v>0</v>
      </c>
      <c r="J21" s="81">
        <v>1</v>
      </c>
      <c r="K21" s="81">
        <v>0</v>
      </c>
      <c r="L21" s="81">
        <v>0</v>
      </c>
      <c r="M21" s="7">
        <f>SUM(Table_Default__XLS_TAB_39_3[[#This Row],[AGE_LEVEL_LESS_20]:[AGE_LEVEL_NOT_STATED]])</f>
        <v>2</v>
      </c>
      <c r="N21" s="103" t="s">
        <v>117</v>
      </c>
    </row>
    <row r="22" spans="1:14" ht="18" customHeight="1" thickBot="1">
      <c r="A22" s="854" t="s">
        <v>15</v>
      </c>
      <c r="B22" s="282">
        <v>0</v>
      </c>
      <c r="C22" s="282">
        <v>0</v>
      </c>
      <c r="D22" s="282">
        <v>0</v>
      </c>
      <c r="E22" s="282">
        <v>0</v>
      </c>
      <c r="F22" s="282">
        <v>0</v>
      </c>
      <c r="G22" s="282">
        <v>0</v>
      </c>
      <c r="H22" s="282">
        <v>0</v>
      </c>
      <c r="I22" s="282">
        <v>0</v>
      </c>
      <c r="J22" s="282">
        <v>0</v>
      </c>
      <c r="K22" s="282">
        <v>0</v>
      </c>
      <c r="L22" s="282">
        <v>0</v>
      </c>
      <c r="M22" s="7">
        <f>SUM(Table_Default__XLS_TAB_39_3[[#This Row],[AGE_LEVEL_LESS_20]:[AGE_LEVEL_NOT_STATED]])</f>
        <v>0</v>
      </c>
      <c r="N22" s="855" t="s">
        <v>16</v>
      </c>
    </row>
    <row r="23" spans="1:14" ht="20.100000000000001" customHeight="1">
      <c r="A23" s="98" t="s">
        <v>17</v>
      </c>
      <c r="B23" s="121">
        <f>SUM(B9:B22)</f>
        <v>6</v>
      </c>
      <c r="C23" s="121">
        <f t="shared" ref="C23:M23" si="0">SUM(C9:C22)</f>
        <v>88</v>
      </c>
      <c r="D23" s="121">
        <f t="shared" si="0"/>
        <v>197</v>
      </c>
      <c r="E23" s="121">
        <f t="shared" si="0"/>
        <v>179</v>
      </c>
      <c r="F23" s="121">
        <f t="shared" si="0"/>
        <v>137</v>
      </c>
      <c r="G23" s="121">
        <f t="shared" si="0"/>
        <v>99</v>
      </c>
      <c r="H23" s="121">
        <f t="shared" si="0"/>
        <v>81</v>
      </c>
      <c r="I23" s="121">
        <f t="shared" si="0"/>
        <v>47</v>
      </c>
      <c r="J23" s="121">
        <f t="shared" si="0"/>
        <v>29</v>
      </c>
      <c r="K23" s="121">
        <f t="shared" si="0"/>
        <v>11</v>
      </c>
      <c r="L23" s="121">
        <f t="shared" si="0"/>
        <v>25</v>
      </c>
      <c r="M23" s="121">
        <f t="shared" si="0"/>
        <v>899</v>
      </c>
      <c r="N23" s="99" t="s">
        <v>56</v>
      </c>
    </row>
    <row r="26" spans="1:14" ht="33.75" customHeight="1">
      <c r="B26" s="13" t="s">
        <v>371</v>
      </c>
      <c r="C26" s="13" t="s">
        <v>370</v>
      </c>
    </row>
    <row r="27" spans="1:14">
      <c r="A27" s="266">
        <v>-20</v>
      </c>
      <c r="B27" s="1">
        <f>B23</f>
        <v>6</v>
      </c>
      <c r="C27" s="1">
        <f t="shared" ref="C27:C35" si="1">M9</f>
        <v>0</v>
      </c>
    </row>
    <row r="28" spans="1:14">
      <c r="A28" s="13" t="s">
        <v>6</v>
      </c>
      <c r="B28" s="1">
        <f>C23</f>
        <v>88</v>
      </c>
      <c r="C28" s="1">
        <f t="shared" si="1"/>
        <v>63</v>
      </c>
    </row>
    <row r="29" spans="1:14">
      <c r="A29" s="1" t="s">
        <v>7</v>
      </c>
      <c r="B29" s="1">
        <f>D23</f>
        <v>197</v>
      </c>
      <c r="C29" s="1">
        <f t="shared" si="1"/>
        <v>189</v>
      </c>
    </row>
    <row r="30" spans="1:14">
      <c r="A30" s="1" t="s">
        <v>8</v>
      </c>
      <c r="B30" s="1">
        <f>E23</f>
        <v>179</v>
      </c>
      <c r="C30" s="1">
        <f t="shared" si="1"/>
        <v>169</v>
      </c>
    </row>
    <row r="31" spans="1:14">
      <c r="A31" s="1" t="s">
        <v>9</v>
      </c>
      <c r="B31" s="1">
        <f>F23</f>
        <v>137</v>
      </c>
      <c r="C31" s="1">
        <f t="shared" si="1"/>
        <v>131</v>
      </c>
    </row>
    <row r="32" spans="1:14">
      <c r="A32" s="1" t="s">
        <v>10</v>
      </c>
      <c r="B32" s="1">
        <f>G23</f>
        <v>99</v>
      </c>
      <c r="C32" s="1">
        <f t="shared" si="1"/>
        <v>102</v>
      </c>
    </row>
    <row r="33" spans="1:4">
      <c r="A33" s="1" t="s">
        <v>11</v>
      </c>
      <c r="B33" s="1">
        <f>H23</f>
        <v>81</v>
      </c>
      <c r="C33" s="1">
        <f t="shared" si="1"/>
        <v>88</v>
      </c>
    </row>
    <row r="34" spans="1:4">
      <c r="A34" s="1" t="s">
        <v>12</v>
      </c>
      <c r="B34" s="1">
        <f>I23</f>
        <v>47</v>
      </c>
      <c r="C34" s="1">
        <f t="shared" si="1"/>
        <v>69</v>
      </c>
    </row>
    <row r="35" spans="1:4">
      <c r="A35" s="1" t="s">
        <v>13</v>
      </c>
      <c r="B35" s="1">
        <f>J23</f>
        <v>29</v>
      </c>
      <c r="C35" s="1">
        <f t="shared" si="1"/>
        <v>37</v>
      </c>
    </row>
    <row r="36" spans="1:4" ht="13.5" thickBot="1">
      <c r="A36" s="1" t="s">
        <v>14</v>
      </c>
      <c r="B36" s="1">
        <f>K23</f>
        <v>11</v>
      </c>
      <c r="C36" s="1">
        <f>M18+M19+M20+M21</f>
        <v>51</v>
      </c>
    </row>
    <row r="37" spans="1:4" ht="15.75" thickBot="1">
      <c r="A37" s="86"/>
      <c r="B37" s="1">
        <f>SUM(B27:B36)</f>
        <v>874</v>
      </c>
      <c r="C37" s="1">
        <f>SUM(C27:C36)</f>
        <v>899</v>
      </c>
    </row>
    <row r="38" spans="1:4" ht="15.75" thickBot="1">
      <c r="D38" s="86"/>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6" orientation="landscape" r:id="rId1"/>
  <headerFooter alignWithMargins="0"/>
  <drawing r:id="rId2"/>
  <tableParts count="1">
    <tablePart r:id="rId3"/>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36:N36"/>
  <sheetViews>
    <sheetView rightToLeft="1" view="pageBreakPreview" topLeftCell="A4" zoomScaleNormal="100" zoomScaleSheetLayoutView="100" workbookViewId="0">
      <selection activeCell="M18" sqref="M18"/>
    </sheetView>
  </sheetViews>
  <sheetFormatPr defaultColWidth="9.140625" defaultRowHeight="12.75"/>
  <cols>
    <col min="1" max="16384" width="9.140625" style="1"/>
  </cols>
  <sheetData>
    <row r="36" spans="1:14" ht="23.25" customHeight="1">
      <c r="A36" s="1038" t="s">
        <v>379</v>
      </c>
      <c r="B36" s="1038"/>
      <c r="C36" s="1038"/>
      <c r="D36" s="1038"/>
      <c r="E36" s="1038"/>
      <c r="F36" s="1038"/>
      <c r="G36" s="1038"/>
      <c r="H36" s="1038"/>
      <c r="I36" s="1038"/>
      <c r="J36" s="1038"/>
      <c r="K36" s="1038"/>
      <c r="L36" s="1038"/>
      <c r="M36" s="1038"/>
      <c r="N36" s="1038"/>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44"/>
  <sheetViews>
    <sheetView rightToLeft="1" view="pageBreakPreview" topLeftCell="A4" zoomScale="85" zoomScaleNormal="100" zoomScaleSheetLayoutView="85" workbookViewId="0">
      <selection activeCell="M18" sqref="M18"/>
    </sheetView>
  </sheetViews>
  <sheetFormatPr defaultColWidth="9.140625" defaultRowHeight="12.75"/>
  <cols>
    <col min="1" max="16384" width="9.140625" style="1"/>
  </cols>
  <sheetData>
    <row r="1" spans="1:13" ht="38.25" customHeight="1">
      <c r="A1" s="95"/>
      <c r="B1" s="95"/>
      <c r="C1" s="95"/>
      <c r="D1" s="95"/>
      <c r="E1" s="95"/>
      <c r="F1" s="95"/>
      <c r="G1" s="95"/>
      <c r="H1" s="95"/>
      <c r="I1" s="95"/>
      <c r="J1" s="95"/>
      <c r="K1" s="95"/>
      <c r="L1" s="95"/>
      <c r="M1" s="95"/>
    </row>
    <row r="2" spans="1:13" ht="32.25" customHeight="1">
      <c r="A2" s="95"/>
      <c r="B2" s="95"/>
      <c r="C2" s="95"/>
      <c r="D2" s="95"/>
      <c r="E2" s="95"/>
      <c r="F2" s="95"/>
      <c r="G2" s="95"/>
      <c r="H2" s="95"/>
      <c r="I2" s="95"/>
      <c r="J2" s="95"/>
      <c r="K2" s="95"/>
      <c r="L2" s="95"/>
      <c r="M2" s="95"/>
    </row>
    <row r="3" spans="1:13">
      <c r="A3" s="95"/>
      <c r="B3" s="95"/>
      <c r="C3" s="95"/>
      <c r="D3" s="95"/>
      <c r="E3" s="95"/>
      <c r="F3" s="95"/>
      <c r="G3" s="95"/>
      <c r="H3" s="95"/>
      <c r="I3" s="95"/>
      <c r="J3" s="95"/>
      <c r="K3" s="95"/>
      <c r="L3" s="95"/>
      <c r="M3" s="95"/>
    </row>
    <row r="4" spans="1:13">
      <c r="A4" s="95"/>
      <c r="B4" s="95"/>
      <c r="C4" s="95"/>
      <c r="D4" s="95"/>
      <c r="E4" s="95"/>
      <c r="F4" s="95"/>
      <c r="G4" s="95"/>
      <c r="H4" s="95"/>
      <c r="I4" s="95"/>
      <c r="J4" s="95"/>
      <c r="K4" s="95"/>
      <c r="L4" s="95"/>
      <c r="M4" s="95"/>
    </row>
    <row r="5" spans="1:13">
      <c r="A5" s="95"/>
      <c r="B5" s="95"/>
      <c r="C5" s="95"/>
      <c r="D5" s="95"/>
      <c r="E5" s="95"/>
      <c r="F5" s="95"/>
      <c r="G5" s="95"/>
      <c r="H5" s="95"/>
      <c r="I5" s="95"/>
      <c r="J5" s="95"/>
      <c r="K5" s="95"/>
      <c r="L5" s="95"/>
      <c r="M5" s="95"/>
    </row>
    <row r="6" spans="1:13">
      <c r="A6" s="95"/>
      <c r="B6" s="95"/>
      <c r="C6" s="95"/>
      <c r="D6" s="95"/>
      <c r="E6" s="95"/>
      <c r="F6" s="95"/>
      <c r="G6" s="95"/>
      <c r="H6" s="95"/>
      <c r="I6" s="95"/>
      <c r="J6" s="95"/>
      <c r="K6" s="95"/>
      <c r="L6" s="95"/>
      <c r="M6" s="95"/>
    </row>
    <row r="7" spans="1:13">
      <c r="A7" s="95"/>
      <c r="B7" s="95"/>
      <c r="C7" s="95"/>
      <c r="D7" s="95"/>
      <c r="E7" s="95"/>
      <c r="F7" s="95"/>
      <c r="G7" s="95"/>
      <c r="H7" s="95"/>
      <c r="I7" s="95"/>
      <c r="J7" s="95"/>
      <c r="K7" s="95"/>
      <c r="L7" s="95"/>
      <c r="M7" s="95"/>
    </row>
    <row r="8" spans="1:13">
      <c r="A8" s="95"/>
      <c r="B8" s="95"/>
      <c r="C8" s="95"/>
      <c r="D8" s="95"/>
      <c r="E8" s="95"/>
      <c r="F8" s="95"/>
      <c r="G8" s="95"/>
      <c r="H8" s="95"/>
      <c r="I8" s="95"/>
      <c r="J8" s="95"/>
      <c r="K8" s="95"/>
      <c r="L8" s="95"/>
      <c r="M8" s="95"/>
    </row>
    <row r="9" spans="1:13">
      <c r="A9" s="95"/>
      <c r="B9" s="95"/>
      <c r="C9" s="95"/>
      <c r="D9" s="95"/>
      <c r="E9" s="95"/>
      <c r="F9" s="95"/>
      <c r="G9" s="95"/>
      <c r="H9" s="95"/>
      <c r="I9" s="95"/>
      <c r="J9" s="95"/>
      <c r="K9" s="95"/>
      <c r="L9" s="95"/>
      <c r="M9" s="95"/>
    </row>
    <row r="10" spans="1:13">
      <c r="A10" s="95"/>
      <c r="B10" s="95"/>
      <c r="C10" s="95"/>
      <c r="D10" s="95"/>
      <c r="E10" s="95"/>
      <c r="F10" s="95"/>
      <c r="G10" s="95"/>
      <c r="H10" s="95"/>
      <c r="I10" s="95"/>
      <c r="J10" s="95"/>
      <c r="K10" s="95"/>
      <c r="L10" s="95"/>
      <c r="M10" s="95"/>
    </row>
    <row r="11" spans="1:13">
      <c r="A11" s="95"/>
      <c r="B11" s="95"/>
      <c r="C11" s="95"/>
      <c r="D11" s="95"/>
      <c r="E11" s="95"/>
      <c r="F11" s="95"/>
      <c r="G11" s="95"/>
      <c r="H11" s="95"/>
      <c r="I11" s="95"/>
      <c r="J11" s="95"/>
      <c r="K11" s="95"/>
      <c r="L11" s="95"/>
      <c r="M11" s="95"/>
    </row>
    <row r="12" spans="1:13">
      <c r="A12" s="95"/>
      <c r="B12" s="95"/>
      <c r="C12" s="95"/>
      <c r="D12" s="95"/>
      <c r="E12" s="95"/>
      <c r="F12" s="95"/>
      <c r="G12" s="95"/>
      <c r="H12" s="95"/>
      <c r="I12" s="95"/>
      <c r="J12" s="95"/>
      <c r="K12" s="95"/>
      <c r="L12" s="95"/>
      <c r="M12" s="95"/>
    </row>
    <row r="13" spans="1:13">
      <c r="A13" s="95"/>
      <c r="B13" s="95"/>
      <c r="C13" s="95"/>
      <c r="D13" s="95"/>
      <c r="E13" s="95"/>
      <c r="F13" s="95"/>
      <c r="G13" s="95"/>
      <c r="H13" s="95"/>
      <c r="I13" s="95"/>
      <c r="J13" s="95"/>
      <c r="K13" s="95"/>
      <c r="L13" s="95"/>
      <c r="M13" s="95"/>
    </row>
    <row r="14" spans="1:13">
      <c r="A14" s="95"/>
      <c r="B14" s="95"/>
      <c r="C14" s="95"/>
      <c r="D14" s="95"/>
      <c r="E14" s="95"/>
      <c r="F14" s="95"/>
      <c r="G14" s="95"/>
      <c r="H14" s="95"/>
      <c r="I14" s="95"/>
      <c r="J14" s="95"/>
      <c r="K14" s="95"/>
      <c r="L14" s="95"/>
      <c r="M14" s="95"/>
    </row>
    <row r="15" spans="1:13">
      <c r="A15" s="95"/>
      <c r="B15" s="95"/>
      <c r="C15" s="95"/>
      <c r="D15" s="95"/>
      <c r="E15" s="95"/>
      <c r="F15" s="95"/>
      <c r="G15" s="95"/>
      <c r="H15" s="95"/>
      <c r="I15" s="95"/>
      <c r="J15" s="95"/>
      <c r="K15" s="95"/>
      <c r="L15" s="95"/>
      <c r="M15" s="95"/>
    </row>
    <row r="16" spans="1:13">
      <c r="A16" s="95"/>
      <c r="B16" s="95"/>
      <c r="C16" s="95"/>
      <c r="D16" s="95"/>
      <c r="E16" s="95"/>
      <c r="F16" s="95"/>
      <c r="G16" s="95"/>
      <c r="H16" s="95"/>
      <c r="I16" s="95"/>
      <c r="J16" s="95"/>
      <c r="K16" s="95"/>
      <c r="L16" s="95"/>
      <c r="M16" s="95"/>
    </row>
    <row r="17" spans="1:13">
      <c r="A17" s="95"/>
      <c r="B17" s="95"/>
      <c r="C17" s="95"/>
      <c r="D17" s="95"/>
      <c r="E17" s="95"/>
      <c r="F17" s="95"/>
      <c r="G17" s="95"/>
      <c r="H17" s="95"/>
      <c r="I17" s="95"/>
      <c r="J17" s="95"/>
      <c r="K17" s="95"/>
      <c r="L17" s="95"/>
      <c r="M17" s="95"/>
    </row>
    <row r="18" spans="1:13">
      <c r="A18" s="95"/>
      <c r="B18" s="95"/>
      <c r="C18" s="95"/>
      <c r="D18" s="95"/>
      <c r="E18" s="95"/>
      <c r="F18" s="95"/>
      <c r="G18" s="95"/>
      <c r="H18" s="95"/>
      <c r="I18" s="95"/>
      <c r="J18" s="95"/>
      <c r="K18" s="95"/>
      <c r="L18" s="95"/>
      <c r="M18" s="95"/>
    </row>
    <row r="19" spans="1:13">
      <c r="A19" s="95"/>
      <c r="B19" s="95"/>
      <c r="C19" s="95"/>
      <c r="D19" s="95"/>
      <c r="E19" s="95"/>
      <c r="F19" s="95"/>
      <c r="G19" s="95"/>
      <c r="H19" s="95"/>
      <c r="I19" s="95"/>
      <c r="J19" s="95"/>
      <c r="K19" s="95"/>
      <c r="L19" s="95"/>
      <c r="M19" s="95"/>
    </row>
    <row r="20" spans="1:13">
      <c r="A20" s="95"/>
      <c r="B20" s="95"/>
      <c r="C20" s="95"/>
      <c r="D20" s="95"/>
      <c r="E20" s="95"/>
      <c r="F20" s="95"/>
      <c r="G20" s="95"/>
      <c r="H20" s="95"/>
      <c r="I20" s="95"/>
      <c r="J20" s="95"/>
      <c r="K20" s="95"/>
      <c r="L20" s="95"/>
      <c r="M20" s="95"/>
    </row>
    <row r="21" spans="1:13">
      <c r="A21" s="95"/>
      <c r="B21" s="95"/>
      <c r="C21" s="95"/>
      <c r="D21" s="95"/>
      <c r="E21" s="95"/>
      <c r="F21" s="95"/>
      <c r="G21" s="95"/>
      <c r="H21" s="95"/>
      <c r="I21" s="95"/>
      <c r="J21" s="95"/>
      <c r="K21" s="95"/>
      <c r="L21" s="95"/>
      <c r="M21" s="95"/>
    </row>
    <row r="22" spans="1:13">
      <c r="A22" s="95"/>
      <c r="B22" s="95"/>
      <c r="C22" s="95"/>
      <c r="D22" s="95"/>
      <c r="E22" s="95"/>
      <c r="F22" s="95"/>
      <c r="G22" s="95"/>
      <c r="H22" s="95"/>
      <c r="I22" s="95"/>
      <c r="J22" s="95"/>
      <c r="K22" s="95"/>
      <c r="L22" s="95"/>
      <c r="M22" s="95"/>
    </row>
    <row r="23" spans="1:13">
      <c r="A23" s="95"/>
      <c r="B23" s="95"/>
      <c r="C23" s="95"/>
      <c r="D23" s="95"/>
      <c r="E23" s="95"/>
      <c r="F23" s="95"/>
      <c r="G23" s="95"/>
      <c r="H23" s="95"/>
      <c r="I23" s="95"/>
      <c r="J23" s="95"/>
      <c r="K23" s="95"/>
      <c r="L23" s="95"/>
      <c r="M23" s="95"/>
    </row>
    <row r="24" spans="1:13">
      <c r="A24" s="95"/>
      <c r="B24" s="95"/>
      <c r="C24" s="95"/>
      <c r="D24" s="95"/>
      <c r="E24" s="95"/>
      <c r="F24" s="95"/>
      <c r="G24" s="95"/>
      <c r="H24" s="95"/>
      <c r="I24" s="95"/>
      <c r="J24" s="95"/>
      <c r="K24" s="95"/>
      <c r="L24" s="95"/>
      <c r="M24" s="95"/>
    </row>
    <row r="25" spans="1:13">
      <c r="A25" s="95"/>
      <c r="B25" s="95"/>
      <c r="C25" s="95"/>
      <c r="D25" s="95"/>
      <c r="E25" s="95"/>
      <c r="F25" s="95"/>
      <c r="G25" s="95"/>
      <c r="H25" s="95"/>
      <c r="I25" s="95"/>
      <c r="J25" s="95"/>
      <c r="K25" s="95"/>
      <c r="L25" s="95"/>
      <c r="M25" s="95"/>
    </row>
    <row r="26" spans="1:13">
      <c r="A26" s="95"/>
      <c r="B26" s="95"/>
      <c r="C26" s="95"/>
      <c r="D26" s="95"/>
      <c r="E26" s="95"/>
      <c r="F26" s="95"/>
      <c r="G26" s="95"/>
      <c r="H26" s="95"/>
      <c r="I26" s="95"/>
      <c r="J26" s="95"/>
      <c r="K26" s="95"/>
      <c r="L26" s="95"/>
      <c r="M26" s="95"/>
    </row>
    <row r="27" spans="1:13">
      <c r="A27" s="95"/>
      <c r="B27" s="95"/>
      <c r="C27" s="95"/>
      <c r="D27" s="95"/>
      <c r="E27" s="95"/>
      <c r="F27" s="95"/>
      <c r="G27" s="95"/>
      <c r="H27" s="95"/>
      <c r="I27" s="95"/>
      <c r="J27" s="95"/>
      <c r="K27" s="95"/>
      <c r="L27" s="95"/>
      <c r="M27" s="95"/>
    </row>
    <row r="28" spans="1:13">
      <c r="A28" s="95"/>
      <c r="B28" s="95"/>
      <c r="C28" s="95"/>
      <c r="D28" s="95"/>
      <c r="E28" s="95"/>
      <c r="F28" s="95"/>
      <c r="G28" s="95"/>
      <c r="H28" s="95"/>
      <c r="I28" s="95"/>
      <c r="J28" s="95"/>
      <c r="K28" s="95"/>
      <c r="L28" s="95"/>
      <c r="M28" s="95"/>
    </row>
    <row r="29" spans="1:13">
      <c r="A29" s="95"/>
      <c r="B29" s="95"/>
      <c r="C29" s="95"/>
      <c r="D29" s="95"/>
      <c r="E29" s="95"/>
      <c r="F29" s="95"/>
      <c r="G29" s="95"/>
      <c r="H29" s="95"/>
      <c r="I29" s="95"/>
      <c r="J29" s="95"/>
      <c r="K29" s="95"/>
      <c r="L29" s="95"/>
      <c r="M29" s="95"/>
    </row>
    <row r="30" spans="1:13">
      <c r="A30" s="95"/>
      <c r="B30" s="95"/>
      <c r="C30" s="95"/>
      <c r="D30" s="95"/>
      <c r="E30" s="95"/>
      <c r="F30" s="95"/>
      <c r="G30" s="95"/>
      <c r="H30" s="95"/>
      <c r="I30" s="95"/>
      <c r="J30" s="95"/>
      <c r="K30" s="95"/>
      <c r="L30" s="95"/>
      <c r="M30" s="95"/>
    </row>
    <row r="31" spans="1:13">
      <c r="A31" s="95"/>
      <c r="B31" s="95"/>
      <c r="C31" s="95"/>
      <c r="D31" s="95"/>
      <c r="E31" s="95"/>
      <c r="F31" s="95"/>
      <c r="G31" s="95"/>
      <c r="H31" s="95"/>
      <c r="I31" s="95"/>
      <c r="J31" s="95"/>
      <c r="K31" s="95"/>
      <c r="L31" s="95"/>
      <c r="M31" s="95"/>
    </row>
    <row r="32" spans="1:13">
      <c r="A32" s="95"/>
      <c r="B32" s="95"/>
      <c r="C32" s="95"/>
      <c r="D32" s="95"/>
      <c r="E32" s="95"/>
      <c r="F32" s="95"/>
      <c r="G32" s="95"/>
      <c r="H32" s="95"/>
      <c r="I32" s="95"/>
      <c r="J32" s="95"/>
      <c r="K32" s="95"/>
      <c r="L32" s="95"/>
      <c r="M32" s="95"/>
    </row>
    <row r="33" spans="1:13">
      <c r="A33" s="95"/>
      <c r="B33" s="95"/>
      <c r="C33" s="95"/>
      <c r="D33" s="95"/>
      <c r="E33" s="95"/>
      <c r="F33" s="95"/>
      <c r="G33" s="95"/>
      <c r="H33" s="95"/>
      <c r="I33" s="95"/>
      <c r="J33" s="95"/>
      <c r="K33" s="95"/>
      <c r="L33" s="95"/>
      <c r="M33" s="95"/>
    </row>
    <row r="34" spans="1:13">
      <c r="A34" s="95"/>
      <c r="B34" s="95"/>
      <c r="C34" s="95"/>
      <c r="D34" s="95"/>
      <c r="E34" s="95"/>
      <c r="F34" s="95"/>
      <c r="G34" s="95"/>
      <c r="H34" s="95"/>
      <c r="I34" s="95"/>
      <c r="J34" s="95"/>
      <c r="K34" s="95"/>
      <c r="L34" s="95"/>
      <c r="M34" s="95"/>
    </row>
    <row r="35" spans="1:13">
      <c r="A35" s="95"/>
      <c r="B35" s="95"/>
      <c r="C35" s="95"/>
      <c r="D35" s="95"/>
      <c r="E35" s="95"/>
      <c r="F35" s="95"/>
      <c r="G35" s="95"/>
      <c r="H35" s="95"/>
      <c r="I35" s="95"/>
      <c r="J35" s="95"/>
      <c r="K35" s="95"/>
      <c r="L35" s="95"/>
      <c r="M35" s="95"/>
    </row>
    <row r="36" spans="1:13">
      <c r="A36" s="95"/>
      <c r="B36" s="95"/>
      <c r="C36" s="95"/>
      <c r="D36" s="95"/>
      <c r="E36" s="95"/>
      <c r="F36" s="95"/>
      <c r="G36" s="95"/>
      <c r="H36" s="95"/>
      <c r="I36" s="95"/>
      <c r="J36" s="95"/>
      <c r="K36" s="95"/>
      <c r="L36" s="95"/>
      <c r="M36" s="95"/>
    </row>
    <row r="37" spans="1:13" ht="15.75">
      <c r="A37" s="1020" t="s">
        <v>33</v>
      </c>
      <c r="B37" s="1020"/>
      <c r="C37" s="1020"/>
      <c r="D37" s="1020"/>
      <c r="E37" s="1020"/>
      <c r="F37" s="1020"/>
      <c r="G37" s="1020"/>
      <c r="H37" s="1020"/>
      <c r="I37" s="1020"/>
      <c r="J37" s="1020"/>
      <c r="K37" s="1020"/>
      <c r="L37" s="1020"/>
      <c r="M37" s="1020"/>
    </row>
    <row r="44" spans="1:13">
      <c r="F44" s="1" t="s">
        <v>563</v>
      </c>
    </row>
  </sheetData>
  <mergeCells count="1">
    <mergeCell ref="A37:M37"/>
  </mergeCells>
  <printOptions horizontalCentered="1" verticalCentered="1"/>
  <pageMargins left="0" right="0" top="0" bottom="0" header="0" footer="0"/>
  <pageSetup paperSize="9" orientation="landscape"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S43"/>
  <sheetViews>
    <sheetView rightToLeft="1" view="pageBreakPreview" topLeftCell="A7" zoomScaleNormal="100" zoomScaleSheetLayoutView="100" workbookViewId="0">
      <selection activeCell="M18" sqref="M18"/>
    </sheetView>
  </sheetViews>
  <sheetFormatPr defaultColWidth="9.140625" defaultRowHeight="12.75"/>
  <cols>
    <col min="1" max="1" width="17.85546875" style="1" customWidth="1"/>
    <col min="2" max="11" width="7.42578125" style="1" customWidth="1"/>
    <col min="12" max="12" width="8.5703125" style="1" customWidth="1"/>
    <col min="13" max="13" width="9.85546875" style="1" customWidth="1"/>
    <col min="14" max="14" width="11" style="1" customWidth="1"/>
    <col min="15" max="15" width="17.85546875" style="1" customWidth="1"/>
    <col min="16" max="16384" width="9.140625" style="1"/>
  </cols>
  <sheetData>
    <row r="1" spans="1:19" s="2" customFormat="1" ht="21.75" customHeight="1">
      <c r="A1" s="1009" t="s">
        <v>381</v>
      </c>
      <c r="B1" s="1009"/>
      <c r="C1" s="1009"/>
      <c r="D1" s="1009"/>
      <c r="E1" s="1009"/>
      <c r="F1" s="1009"/>
      <c r="G1" s="1009"/>
      <c r="H1" s="1009"/>
      <c r="I1" s="1009"/>
      <c r="J1" s="1009"/>
      <c r="K1" s="1009"/>
      <c r="L1" s="1009"/>
      <c r="M1" s="1009"/>
      <c r="N1" s="1009"/>
      <c r="O1" s="1009"/>
    </row>
    <row r="2" spans="1:19" s="2" customFormat="1" ht="15.75" customHeight="1">
      <c r="A2" s="1036" t="s">
        <v>536</v>
      </c>
      <c r="B2" s="1036"/>
      <c r="C2" s="1036"/>
      <c r="D2" s="1036"/>
      <c r="E2" s="1036"/>
      <c r="F2" s="1036"/>
      <c r="G2" s="1036"/>
      <c r="H2" s="1036"/>
      <c r="I2" s="1036"/>
      <c r="J2" s="1036"/>
      <c r="K2" s="1036"/>
      <c r="L2" s="1036"/>
      <c r="M2" s="1036"/>
      <c r="N2" s="1036"/>
      <c r="O2" s="1036"/>
    </row>
    <row r="3" spans="1:19" s="2" customFormat="1" ht="18" customHeight="1">
      <c r="A3" s="1037">
        <v>2019</v>
      </c>
      <c r="B3" s="1037"/>
      <c r="C3" s="1037"/>
      <c r="D3" s="1037"/>
      <c r="E3" s="1037"/>
      <c r="F3" s="1037"/>
      <c r="G3" s="1037"/>
      <c r="H3" s="1037"/>
      <c r="I3" s="1037"/>
      <c r="J3" s="1037"/>
      <c r="K3" s="1037"/>
      <c r="L3" s="1037"/>
      <c r="M3" s="1037"/>
      <c r="N3" s="1037"/>
      <c r="O3" s="1037"/>
      <c r="P3" s="57"/>
      <c r="Q3" s="57"/>
      <c r="R3" s="57"/>
      <c r="S3" s="57"/>
    </row>
    <row r="4" spans="1:19" s="2" customFormat="1" ht="15.75">
      <c r="A4" s="1037" t="s">
        <v>53</v>
      </c>
      <c r="B4" s="1037"/>
      <c r="C4" s="1037"/>
      <c r="D4" s="1037"/>
      <c r="E4" s="1037"/>
      <c r="F4" s="1037"/>
      <c r="G4" s="1037"/>
      <c r="H4" s="1037"/>
      <c r="I4" s="1037"/>
      <c r="J4" s="1037"/>
      <c r="K4" s="1037"/>
      <c r="L4" s="1037"/>
      <c r="M4" s="1037"/>
      <c r="N4" s="1037"/>
      <c r="O4" s="1037"/>
    </row>
    <row r="5" spans="1:19" s="2" customFormat="1" ht="15.75">
      <c r="A5" s="361"/>
      <c r="B5" s="361"/>
      <c r="C5" s="361"/>
      <c r="D5" s="361"/>
      <c r="E5" s="361"/>
      <c r="F5" s="361"/>
      <c r="G5" s="361"/>
      <c r="H5" s="361"/>
      <c r="I5" s="361"/>
      <c r="J5" s="361"/>
      <c r="K5" s="361"/>
      <c r="L5" s="361"/>
      <c r="M5" s="361"/>
      <c r="N5" s="361"/>
      <c r="O5" s="361"/>
    </row>
    <row r="6" spans="1:19" ht="15.75">
      <c r="A6" s="373" t="s">
        <v>478</v>
      </c>
      <c r="B6" s="377"/>
      <c r="C6" s="377"/>
      <c r="D6" s="377"/>
      <c r="E6" s="377"/>
      <c r="F6" s="377"/>
      <c r="G6" s="377"/>
      <c r="H6" s="377"/>
      <c r="I6" s="377"/>
      <c r="J6" s="377"/>
      <c r="K6" s="377"/>
      <c r="L6" s="377"/>
      <c r="M6" s="377"/>
      <c r="N6" s="377"/>
      <c r="O6" s="375" t="s">
        <v>479</v>
      </c>
    </row>
    <row r="7" spans="1:19" ht="26.25" customHeight="1" thickBot="1">
      <c r="A7" s="1099" t="s">
        <v>159</v>
      </c>
      <c r="B7" s="1087" t="s">
        <v>136</v>
      </c>
      <c r="C7" s="1181"/>
      <c r="D7" s="1181"/>
      <c r="E7" s="1181"/>
      <c r="F7" s="1181"/>
      <c r="G7" s="1181"/>
      <c r="H7" s="1181"/>
      <c r="I7" s="1181"/>
      <c r="J7" s="1181"/>
      <c r="K7" s="1181"/>
      <c r="L7" s="1181"/>
      <c r="M7" s="1181"/>
      <c r="N7" s="1114" t="s">
        <v>661</v>
      </c>
      <c r="O7" s="1106" t="s">
        <v>350</v>
      </c>
    </row>
    <row r="8" spans="1:19" ht="47.25" customHeight="1">
      <c r="A8" s="1100"/>
      <c r="B8" s="884">
        <v>-20</v>
      </c>
      <c r="C8" s="884" t="s">
        <v>128</v>
      </c>
      <c r="D8" s="884" t="s">
        <v>127</v>
      </c>
      <c r="E8" s="884" t="s">
        <v>126</v>
      </c>
      <c r="F8" s="884" t="s">
        <v>125</v>
      </c>
      <c r="G8" s="884" t="s">
        <v>124</v>
      </c>
      <c r="H8" s="884" t="s">
        <v>123</v>
      </c>
      <c r="I8" s="884" t="s">
        <v>122</v>
      </c>
      <c r="J8" s="884" t="s">
        <v>121</v>
      </c>
      <c r="K8" s="884" t="s">
        <v>133</v>
      </c>
      <c r="L8" s="328" t="s">
        <v>655</v>
      </c>
      <c r="M8" s="325" t="s">
        <v>605</v>
      </c>
      <c r="N8" s="1128"/>
      <c r="O8" s="1107"/>
    </row>
    <row r="9" spans="1:19" s="122" customFormat="1" ht="18" customHeight="1" thickBot="1">
      <c r="A9" s="888" t="s">
        <v>437</v>
      </c>
      <c r="B9" s="885">
        <v>0</v>
      </c>
      <c r="C9" s="885">
        <v>0</v>
      </c>
      <c r="D9" s="885">
        <v>0</v>
      </c>
      <c r="E9" s="885">
        <v>0</v>
      </c>
      <c r="F9" s="885">
        <v>0</v>
      </c>
      <c r="G9" s="885">
        <v>0</v>
      </c>
      <c r="H9" s="885">
        <v>0</v>
      </c>
      <c r="I9" s="885">
        <v>0</v>
      </c>
      <c r="J9" s="885">
        <v>0</v>
      </c>
      <c r="K9" s="885">
        <v>0</v>
      </c>
      <c r="L9" s="885">
        <v>0</v>
      </c>
      <c r="M9" s="886">
        <f>SUM(Table_Default__XLS_TAB_40_192[[#This Row],[AGE_LEVEL_LESS_20]:[AGE_LEVEL_NOT_STATED]])</f>
        <v>0</v>
      </c>
      <c r="N9" s="887">
        <f>M9/$M$23%</f>
        <v>0</v>
      </c>
      <c r="O9" s="892" t="s">
        <v>437</v>
      </c>
    </row>
    <row r="10" spans="1:19" ht="18" customHeight="1" thickBot="1">
      <c r="A10" s="889" t="s">
        <v>128</v>
      </c>
      <c r="B10" s="271">
        <v>0</v>
      </c>
      <c r="C10" s="271">
        <v>0</v>
      </c>
      <c r="D10" s="271">
        <v>0</v>
      </c>
      <c r="E10" s="271">
        <v>1</v>
      </c>
      <c r="F10" s="271">
        <v>0</v>
      </c>
      <c r="G10" s="271">
        <v>0</v>
      </c>
      <c r="H10" s="271">
        <v>0</v>
      </c>
      <c r="I10" s="271">
        <v>0</v>
      </c>
      <c r="J10" s="271">
        <v>0</v>
      </c>
      <c r="K10" s="271">
        <v>0</v>
      </c>
      <c r="L10" s="271">
        <v>0</v>
      </c>
      <c r="M10" s="461">
        <f>SUM(Table_Default__XLS_TAB_40_192[[#This Row],[AGE_LEVEL_LESS_20]:[AGE_LEVEL_NOT_STATED]])</f>
        <v>1</v>
      </c>
      <c r="N10" s="9">
        <f t="shared" ref="N10:N22" si="0">M10/$M$23%</f>
        <v>2.2222222222222223</v>
      </c>
      <c r="O10" s="893" t="s">
        <v>128</v>
      </c>
    </row>
    <row r="11" spans="1:19" ht="18" customHeight="1" thickBot="1">
      <c r="A11" s="890" t="s">
        <v>127</v>
      </c>
      <c r="B11" s="272">
        <v>0</v>
      </c>
      <c r="C11" s="272">
        <v>0</v>
      </c>
      <c r="D11" s="272">
        <v>0</v>
      </c>
      <c r="E11" s="272">
        <v>2</v>
      </c>
      <c r="F11" s="272">
        <v>0</v>
      </c>
      <c r="G11" s="272">
        <v>0</v>
      </c>
      <c r="H11" s="272">
        <v>0</v>
      </c>
      <c r="I11" s="272">
        <v>0</v>
      </c>
      <c r="J11" s="272">
        <v>0</v>
      </c>
      <c r="K11" s="272">
        <v>0</v>
      </c>
      <c r="L11" s="272">
        <v>0</v>
      </c>
      <c r="M11" s="462">
        <f>SUM(Table_Default__XLS_TAB_40_192[[#This Row],[AGE_LEVEL_LESS_20]:[AGE_LEVEL_NOT_STATED]])</f>
        <v>2</v>
      </c>
      <c r="N11" s="270">
        <f t="shared" si="0"/>
        <v>4.4444444444444446</v>
      </c>
      <c r="O11" s="894" t="s">
        <v>127</v>
      </c>
    </row>
    <row r="12" spans="1:19" ht="18" customHeight="1" thickBot="1">
      <c r="A12" s="889" t="s">
        <v>126</v>
      </c>
      <c r="B12" s="271">
        <v>0</v>
      </c>
      <c r="C12" s="271">
        <v>0</v>
      </c>
      <c r="D12" s="271">
        <v>0</v>
      </c>
      <c r="E12" s="271">
        <v>4</v>
      </c>
      <c r="F12" s="271">
        <v>0</v>
      </c>
      <c r="G12" s="271">
        <v>0</v>
      </c>
      <c r="H12" s="271">
        <v>0</v>
      </c>
      <c r="I12" s="271">
        <v>0</v>
      </c>
      <c r="J12" s="271">
        <v>0</v>
      </c>
      <c r="K12" s="271">
        <v>0</v>
      </c>
      <c r="L12" s="271">
        <v>0</v>
      </c>
      <c r="M12" s="461">
        <f>SUM(Table_Default__XLS_TAB_40_192[[#This Row],[AGE_LEVEL_LESS_20]:[AGE_LEVEL_NOT_STATED]])</f>
        <v>4</v>
      </c>
      <c r="N12" s="9">
        <f t="shared" si="0"/>
        <v>8.8888888888888893</v>
      </c>
      <c r="O12" s="893" t="s">
        <v>126</v>
      </c>
    </row>
    <row r="13" spans="1:19" ht="18" customHeight="1" thickBot="1">
      <c r="A13" s="890" t="s">
        <v>125</v>
      </c>
      <c r="B13" s="272">
        <v>0</v>
      </c>
      <c r="C13" s="272">
        <v>0</v>
      </c>
      <c r="D13" s="272">
        <v>2</v>
      </c>
      <c r="E13" s="272">
        <v>0</v>
      </c>
      <c r="F13" s="272">
        <v>3</v>
      </c>
      <c r="G13" s="272">
        <v>0</v>
      </c>
      <c r="H13" s="272">
        <v>0</v>
      </c>
      <c r="I13" s="272">
        <v>0</v>
      </c>
      <c r="J13" s="272">
        <v>0</v>
      </c>
      <c r="K13" s="272">
        <v>0</v>
      </c>
      <c r="L13" s="272">
        <v>0</v>
      </c>
      <c r="M13" s="462">
        <f>SUM(Table_Default__XLS_TAB_40_192[[#This Row],[AGE_LEVEL_LESS_20]:[AGE_LEVEL_NOT_STATED]])</f>
        <v>5</v>
      </c>
      <c r="N13" s="270">
        <f t="shared" si="0"/>
        <v>11.111111111111111</v>
      </c>
      <c r="O13" s="894" t="s">
        <v>125</v>
      </c>
    </row>
    <row r="14" spans="1:19" ht="18" customHeight="1" thickBot="1">
      <c r="A14" s="889" t="s">
        <v>124</v>
      </c>
      <c r="B14" s="271">
        <v>0</v>
      </c>
      <c r="C14" s="271">
        <v>0</v>
      </c>
      <c r="D14" s="271">
        <v>0</v>
      </c>
      <c r="E14" s="271">
        <v>0</v>
      </c>
      <c r="F14" s="271">
        <v>0</v>
      </c>
      <c r="G14" s="271">
        <v>1</v>
      </c>
      <c r="H14" s="271">
        <v>0</v>
      </c>
      <c r="I14" s="271">
        <v>0</v>
      </c>
      <c r="J14" s="271">
        <v>0</v>
      </c>
      <c r="K14" s="271">
        <v>0</v>
      </c>
      <c r="L14" s="271">
        <v>0</v>
      </c>
      <c r="M14" s="461">
        <f>SUM(Table_Default__XLS_TAB_40_192[[#This Row],[AGE_LEVEL_LESS_20]:[AGE_LEVEL_NOT_STATED]])</f>
        <v>1</v>
      </c>
      <c r="N14" s="9">
        <f t="shared" si="0"/>
        <v>2.2222222222222223</v>
      </c>
      <c r="O14" s="893" t="s">
        <v>124</v>
      </c>
    </row>
    <row r="15" spans="1:19" ht="18" customHeight="1" thickBot="1">
      <c r="A15" s="890" t="s">
        <v>123</v>
      </c>
      <c r="B15" s="272">
        <v>0</v>
      </c>
      <c r="C15" s="272">
        <v>0</v>
      </c>
      <c r="D15" s="272">
        <v>0</v>
      </c>
      <c r="E15" s="272">
        <v>0</v>
      </c>
      <c r="F15" s="272">
        <v>0</v>
      </c>
      <c r="G15" s="272">
        <v>0</v>
      </c>
      <c r="H15" s="272">
        <v>7</v>
      </c>
      <c r="I15" s="272">
        <v>0</v>
      </c>
      <c r="J15" s="272">
        <v>0</v>
      </c>
      <c r="K15" s="272">
        <v>0</v>
      </c>
      <c r="L15" s="272">
        <v>0</v>
      </c>
      <c r="M15" s="462">
        <f>SUM(Table_Default__XLS_TAB_40_192[[#This Row],[AGE_LEVEL_LESS_20]:[AGE_LEVEL_NOT_STATED]])</f>
        <v>7</v>
      </c>
      <c r="N15" s="270">
        <f>M15/$M$23%</f>
        <v>15.555555555555555</v>
      </c>
      <c r="O15" s="894" t="s">
        <v>123</v>
      </c>
    </row>
    <row r="16" spans="1:19" ht="18" customHeight="1" thickBot="1">
      <c r="A16" s="889" t="s">
        <v>122</v>
      </c>
      <c r="B16" s="271">
        <v>0</v>
      </c>
      <c r="C16" s="271">
        <v>0</v>
      </c>
      <c r="D16" s="271">
        <v>0</v>
      </c>
      <c r="E16" s="271">
        <v>0</v>
      </c>
      <c r="F16" s="271">
        <v>0</v>
      </c>
      <c r="G16" s="271">
        <v>0</v>
      </c>
      <c r="H16" s="271">
        <v>7</v>
      </c>
      <c r="I16" s="271">
        <v>5</v>
      </c>
      <c r="J16" s="271">
        <v>7</v>
      </c>
      <c r="K16" s="271">
        <v>0</v>
      </c>
      <c r="L16" s="271">
        <v>0</v>
      </c>
      <c r="M16" s="461">
        <f>SUM(Table_Default__XLS_TAB_40_192[[#This Row],[AGE_LEVEL_LESS_20]:[AGE_LEVEL_NOT_STATED]])</f>
        <v>19</v>
      </c>
      <c r="N16" s="9">
        <f t="shared" si="0"/>
        <v>42.222222222222221</v>
      </c>
      <c r="O16" s="893" t="s">
        <v>122</v>
      </c>
    </row>
    <row r="17" spans="1:15" ht="18" customHeight="1" thickBot="1">
      <c r="A17" s="890" t="s">
        <v>121</v>
      </c>
      <c r="B17" s="272">
        <v>0</v>
      </c>
      <c r="C17" s="272">
        <v>0</v>
      </c>
      <c r="D17" s="272">
        <v>0</v>
      </c>
      <c r="E17" s="272">
        <v>0</v>
      </c>
      <c r="F17" s="272">
        <v>0</v>
      </c>
      <c r="G17" s="272">
        <v>0</v>
      </c>
      <c r="H17" s="272">
        <v>6</v>
      </c>
      <c r="I17" s="272">
        <v>0</v>
      </c>
      <c r="J17" s="272">
        <v>0</v>
      </c>
      <c r="K17" s="272">
        <v>0</v>
      </c>
      <c r="L17" s="272">
        <v>0</v>
      </c>
      <c r="M17" s="462">
        <f>SUM(Table_Default__XLS_TAB_40_192[[#This Row],[AGE_LEVEL_LESS_20]:[AGE_LEVEL_NOT_STATED]])</f>
        <v>6</v>
      </c>
      <c r="N17" s="270">
        <f t="shared" si="0"/>
        <v>13.333333333333332</v>
      </c>
      <c r="O17" s="894" t="s">
        <v>121</v>
      </c>
    </row>
    <row r="18" spans="1:15" ht="18" customHeight="1" thickBot="1">
      <c r="A18" s="889" t="s">
        <v>120</v>
      </c>
      <c r="B18" s="271">
        <v>0</v>
      </c>
      <c r="C18" s="271">
        <v>0</v>
      </c>
      <c r="D18" s="271">
        <v>0</v>
      </c>
      <c r="E18" s="271">
        <v>0</v>
      </c>
      <c r="F18" s="271">
        <v>0</v>
      </c>
      <c r="G18" s="271">
        <v>0</v>
      </c>
      <c r="H18" s="271">
        <v>0</v>
      </c>
      <c r="I18" s="271">
        <v>0</v>
      </c>
      <c r="J18" s="271">
        <v>0</v>
      </c>
      <c r="K18" s="271">
        <v>0</v>
      </c>
      <c r="L18" s="271">
        <v>0</v>
      </c>
      <c r="M18" s="461">
        <f>SUM(Table_Default__XLS_TAB_40_192[[#This Row],[AGE_LEVEL_LESS_20]:[AGE_LEVEL_NOT_STATED]])</f>
        <v>0</v>
      </c>
      <c r="N18" s="9">
        <f t="shared" si="0"/>
        <v>0</v>
      </c>
      <c r="O18" s="893" t="s">
        <v>120</v>
      </c>
    </row>
    <row r="19" spans="1:15" ht="18" customHeight="1" thickBot="1">
      <c r="A19" s="890" t="s">
        <v>119</v>
      </c>
      <c r="B19" s="272">
        <v>0</v>
      </c>
      <c r="C19" s="272">
        <v>0</v>
      </c>
      <c r="D19" s="272">
        <v>0</v>
      </c>
      <c r="E19" s="272">
        <v>0</v>
      </c>
      <c r="F19" s="272">
        <v>0</v>
      </c>
      <c r="G19" s="272">
        <v>0</v>
      </c>
      <c r="H19" s="272">
        <v>0</v>
      </c>
      <c r="I19" s="272">
        <v>0</v>
      </c>
      <c r="J19" s="272">
        <v>0</v>
      </c>
      <c r="K19" s="272">
        <v>0</v>
      </c>
      <c r="L19" s="272">
        <v>0</v>
      </c>
      <c r="M19" s="462">
        <f>SUM(Table_Default__XLS_TAB_40_192[[#This Row],[AGE_LEVEL_LESS_20]:[AGE_LEVEL_NOT_STATED]])</f>
        <v>0</v>
      </c>
      <c r="N19" s="270">
        <f t="shared" si="0"/>
        <v>0</v>
      </c>
      <c r="O19" s="894" t="s">
        <v>119</v>
      </c>
    </row>
    <row r="20" spans="1:15" ht="18" customHeight="1" thickBot="1">
      <c r="A20" s="889" t="s">
        <v>118</v>
      </c>
      <c r="B20" s="271">
        <v>0</v>
      </c>
      <c r="C20" s="271">
        <v>0</v>
      </c>
      <c r="D20" s="271">
        <v>0</v>
      </c>
      <c r="E20" s="271">
        <v>0</v>
      </c>
      <c r="F20" s="271">
        <v>0</v>
      </c>
      <c r="G20" s="271">
        <v>0</v>
      </c>
      <c r="H20" s="271">
        <v>0</v>
      </c>
      <c r="I20" s="271">
        <v>0</v>
      </c>
      <c r="J20" s="271">
        <v>0</v>
      </c>
      <c r="K20" s="271">
        <v>0</v>
      </c>
      <c r="L20" s="271">
        <v>0</v>
      </c>
      <c r="M20" s="461">
        <f>SUM(Table_Default__XLS_TAB_40_192[[#This Row],[AGE_LEVEL_LESS_20]:[AGE_LEVEL_NOT_STATED]])</f>
        <v>0</v>
      </c>
      <c r="N20" s="9">
        <f t="shared" si="0"/>
        <v>0</v>
      </c>
      <c r="O20" s="893" t="s">
        <v>118</v>
      </c>
    </row>
    <row r="21" spans="1:15" ht="18" customHeight="1" thickBot="1">
      <c r="A21" s="890" t="s">
        <v>117</v>
      </c>
      <c r="B21" s="272">
        <v>0</v>
      </c>
      <c r="C21" s="272">
        <v>0</v>
      </c>
      <c r="D21" s="272">
        <v>0</v>
      </c>
      <c r="E21" s="272">
        <v>0</v>
      </c>
      <c r="F21" s="272">
        <v>0</v>
      </c>
      <c r="G21" s="272">
        <v>0</v>
      </c>
      <c r="H21" s="272">
        <v>0</v>
      </c>
      <c r="I21" s="272">
        <v>0</v>
      </c>
      <c r="J21" s="272">
        <v>0</v>
      </c>
      <c r="K21" s="272">
        <v>0</v>
      </c>
      <c r="L21" s="272">
        <v>0</v>
      </c>
      <c r="M21" s="462">
        <f>SUM(Table_Default__XLS_TAB_40_192[[#This Row],[AGE_LEVEL_LESS_20]:[AGE_LEVEL_NOT_STATED]])</f>
        <v>0</v>
      </c>
      <c r="N21" s="270">
        <f t="shared" si="0"/>
        <v>0</v>
      </c>
      <c r="O21" s="894" t="s">
        <v>117</v>
      </c>
    </row>
    <row r="22" spans="1:15" ht="18" customHeight="1">
      <c r="A22" s="891" t="s">
        <v>15</v>
      </c>
      <c r="B22" s="273">
        <v>0</v>
      </c>
      <c r="C22" s="273">
        <v>0</v>
      </c>
      <c r="D22" s="273">
        <v>0</v>
      </c>
      <c r="E22" s="273">
        <v>0</v>
      </c>
      <c r="F22" s="273">
        <v>0</v>
      </c>
      <c r="G22" s="273">
        <v>0</v>
      </c>
      <c r="H22" s="273">
        <v>0</v>
      </c>
      <c r="I22" s="273">
        <v>0</v>
      </c>
      <c r="J22" s="273">
        <v>0</v>
      </c>
      <c r="K22" s="273">
        <v>0</v>
      </c>
      <c r="L22" s="273">
        <v>0</v>
      </c>
      <c r="M22" s="463">
        <f>SUM(Table_Default__XLS_TAB_40_192[[#This Row],[AGE_LEVEL_LESS_20]:[AGE_LEVEL_NOT_STATED]])</f>
        <v>0</v>
      </c>
      <c r="N22" s="60">
        <f t="shared" si="0"/>
        <v>0</v>
      </c>
      <c r="O22" s="895" t="s">
        <v>16</v>
      </c>
    </row>
    <row r="23" spans="1:15" ht="18" customHeight="1" thickBot="1">
      <c r="A23" s="267" t="s">
        <v>17</v>
      </c>
      <c r="B23" s="268">
        <f>SUM(B9:B22)</f>
        <v>0</v>
      </c>
      <c r="C23" s="268">
        <f t="shared" ref="C23:L23" si="1">SUM(C9:C22)</f>
        <v>0</v>
      </c>
      <c r="D23" s="268">
        <f t="shared" si="1"/>
        <v>2</v>
      </c>
      <c r="E23" s="268">
        <f t="shared" si="1"/>
        <v>7</v>
      </c>
      <c r="F23" s="268">
        <f t="shared" si="1"/>
        <v>3</v>
      </c>
      <c r="G23" s="268">
        <f t="shared" si="1"/>
        <v>1</v>
      </c>
      <c r="H23" s="268">
        <f t="shared" si="1"/>
        <v>20</v>
      </c>
      <c r="I23" s="268">
        <f t="shared" si="1"/>
        <v>5</v>
      </c>
      <c r="J23" s="268">
        <f t="shared" si="1"/>
        <v>7</v>
      </c>
      <c r="K23" s="268">
        <f t="shared" si="1"/>
        <v>0</v>
      </c>
      <c r="L23" s="268">
        <f t="shared" si="1"/>
        <v>0</v>
      </c>
      <c r="M23" s="268">
        <f>SUM(M9:M22)</f>
        <v>45</v>
      </c>
      <c r="N23" s="268">
        <f>SUM(N9:N22)</f>
        <v>99.999999999999986</v>
      </c>
      <c r="O23" s="269" t="s">
        <v>56</v>
      </c>
    </row>
    <row r="24" spans="1:15" ht="18" customHeight="1">
      <c r="A24" s="486" t="s">
        <v>380</v>
      </c>
      <c r="B24" s="495">
        <f>B23/$M$23%</f>
        <v>0</v>
      </c>
      <c r="C24" s="495">
        <f t="shared" ref="C24:L24" si="2">C23/$M$23%</f>
        <v>0</v>
      </c>
      <c r="D24" s="495">
        <f t="shared" si="2"/>
        <v>4.4444444444444446</v>
      </c>
      <c r="E24" s="495">
        <f t="shared" si="2"/>
        <v>15.555555555555555</v>
      </c>
      <c r="F24" s="495">
        <f t="shared" si="2"/>
        <v>6.6666666666666661</v>
      </c>
      <c r="G24" s="495">
        <f t="shared" si="2"/>
        <v>2.2222222222222223</v>
      </c>
      <c r="H24" s="495">
        <f t="shared" si="2"/>
        <v>44.444444444444443</v>
      </c>
      <c r="I24" s="495">
        <f t="shared" si="2"/>
        <v>11.111111111111111</v>
      </c>
      <c r="J24" s="495">
        <f t="shared" si="2"/>
        <v>15.555555555555555</v>
      </c>
      <c r="K24" s="495">
        <f t="shared" si="2"/>
        <v>0</v>
      </c>
      <c r="L24" s="495">
        <f t="shared" si="2"/>
        <v>0</v>
      </c>
      <c r="M24" s="495">
        <f>SUM(B24:L24)</f>
        <v>100</v>
      </c>
      <c r="N24" s="1198" t="s">
        <v>20</v>
      </c>
      <c r="O24" s="1199"/>
    </row>
    <row r="25" spans="1:15" ht="15">
      <c r="A25" s="900" t="s">
        <v>580</v>
      </c>
      <c r="O25" s="1" t="s">
        <v>583</v>
      </c>
    </row>
    <row r="31" spans="1:15" ht="217.5" thickBot="1">
      <c r="B31" s="13" t="s">
        <v>575</v>
      </c>
      <c r="C31" s="13" t="s">
        <v>574</v>
      </c>
    </row>
    <row r="32" spans="1:15" ht="15.75" thickBot="1">
      <c r="A32" s="86">
        <v>-20</v>
      </c>
      <c r="B32" s="274">
        <f>B23</f>
        <v>0</v>
      </c>
      <c r="C32" s="1">
        <f>M9</f>
        <v>0</v>
      </c>
    </row>
    <row r="33" spans="1:3" ht="15.75" thickBot="1">
      <c r="A33" s="86" t="s">
        <v>6</v>
      </c>
      <c r="B33" s="1">
        <f>C23</f>
        <v>0</v>
      </c>
      <c r="C33" s="1">
        <f t="shared" ref="C33:C40" si="3">M10</f>
        <v>1</v>
      </c>
    </row>
    <row r="34" spans="1:3" ht="15.75" thickBot="1">
      <c r="A34" s="86" t="s">
        <v>7</v>
      </c>
      <c r="B34" s="1">
        <f>D23</f>
        <v>2</v>
      </c>
      <c r="C34" s="1">
        <f t="shared" si="3"/>
        <v>2</v>
      </c>
    </row>
    <row r="35" spans="1:3" ht="15.75" thickBot="1">
      <c r="A35" s="86" t="s">
        <v>8</v>
      </c>
      <c r="B35" s="1">
        <f>E23</f>
        <v>7</v>
      </c>
      <c r="C35" s="1">
        <f t="shared" si="3"/>
        <v>4</v>
      </c>
    </row>
    <row r="36" spans="1:3" ht="15.75" thickBot="1">
      <c r="A36" s="86" t="s">
        <v>9</v>
      </c>
      <c r="B36" s="1">
        <f>F23</f>
        <v>3</v>
      </c>
      <c r="C36" s="1">
        <f t="shared" si="3"/>
        <v>5</v>
      </c>
    </row>
    <row r="37" spans="1:3" ht="15.75" thickBot="1">
      <c r="A37" s="86" t="s">
        <v>10</v>
      </c>
      <c r="B37" s="1">
        <f>G23</f>
        <v>1</v>
      </c>
      <c r="C37" s="1">
        <f t="shared" si="3"/>
        <v>1</v>
      </c>
    </row>
    <row r="38" spans="1:3" ht="15.75" thickBot="1">
      <c r="A38" s="86" t="s">
        <v>11</v>
      </c>
      <c r="B38" s="1">
        <f>H23</f>
        <v>20</v>
      </c>
      <c r="C38" s="1">
        <f t="shared" si="3"/>
        <v>7</v>
      </c>
    </row>
    <row r="39" spans="1:3" ht="15.75" thickBot="1">
      <c r="A39" s="86" t="s">
        <v>12</v>
      </c>
      <c r="B39" s="1">
        <f>I23</f>
        <v>5</v>
      </c>
      <c r="C39" s="1">
        <f t="shared" si="3"/>
        <v>19</v>
      </c>
    </row>
    <row r="40" spans="1:3" ht="15.75" thickBot="1">
      <c r="A40" s="86" t="s">
        <v>13</v>
      </c>
      <c r="B40" s="1">
        <f>J23</f>
        <v>7</v>
      </c>
      <c r="C40" s="1">
        <f t="shared" si="3"/>
        <v>6</v>
      </c>
    </row>
    <row r="41" spans="1:3" ht="15.75" thickBot="1">
      <c r="A41" s="86" t="s">
        <v>14</v>
      </c>
      <c r="B41" s="1">
        <f>K23</f>
        <v>0</v>
      </c>
      <c r="C41" s="1">
        <f>SUM(M18:M21)</f>
        <v>0</v>
      </c>
    </row>
    <row r="42" spans="1:3" ht="30.75" thickBot="1">
      <c r="A42" s="86" t="s">
        <v>450</v>
      </c>
      <c r="B42" s="274">
        <f>L23</f>
        <v>0</v>
      </c>
      <c r="C42" s="1">
        <f>M22</f>
        <v>0</v>
      </c>
    </row>
    <row r="43" spans="1:3">
      <c r="B43" s="274">
        <f>SUM(B32:B42)</f>
        <v>45</v>
      </c>
      <c r="C43" s="274">
        <f>SUM(C32:C42)</f>
        <v>45</v>
      </c>
    </row>
  </sheetData>
  <mergeCells count="9">
    <mergeCell ref="A1:O1"/>
    <mergeCell ref="A2:O2"/>
    <mergeCell ref="A3:O3"/>
    <mergeCell ref="A4:O4"/>
    <mergeCell ref="N24:O24"/>
    <mergeCell ref="A7:A8"/>
    <mergeCell ref="B7:M7"/>
    <mergeCell ref="O7:O8"/>
    <mergeCell ref="N7:N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37:N37"/>
  <sheetViews>
    <sheetView rightToLeft="1" view="pageBreakPreview" topLeftCell="A4" zoomScaleNormal="100" zoomScaleSheetLayoutView="100" workbookViewId="0">
      <selection activeCell="M18" sqref="M18"/>
    </sheetView>
  </sheetViews>
  <sheetFormatPr defaultColWidth="9.140625" defaultRowHeight="12.75"/>
  <cols>
    <col min="1" max="16384" width="9.140625" style="1"/>
  </cols>
  <sheetData>
    <row r="37" spans="1:14" ht="15.75">
      <c r="A37" s="1038" t="s">
        <v>382</v>
      </c>
      <c r="B37" s="1038"/>
      <c r="C37" s="1038"/>
      <c r="D37" s="1038"/>
      <c r="E37" s="1038"/>
      <c r="F37" s="1038"/>
      <c r="G37" s="1038"/>
      <c r="H37" s="1038"/>
      <c r="I37" s="1038"/>
      <c r="J37" s="1038"/>
      <c r="K37" s="1038"/>
      <c r="L37" s="1038"/>
      <c r="M37" s="1038"/>
      <c r="N37" s="1038"/>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R43"/>
  <sheetViews>
    <sheetView rightToLeft="1" view="pageBreakPreview" topLeftCell="A7" zoomScaleNormal="100" zoomScaleSheetLayoutView="100" workbookViewId="0">
      <selection activeCell="M18" sqref="M18"/>
    </sheetView>
  </sheetViews>
  <sheetFormatPr defaultColWidth="9.140625" defaultRowHeight="12.75"/>
  <cols>
    <col min="1" max="1" width="17.85546875" style="1" customWidth="1"/>
    <col min="2" max="2" width="7" style="1" customWidth="1"/>
    <col min="3" max="3" width="8.140625" style="1" customWidth="1"/>
    <col min="4" max="9" width="7.42578125" style="1" bestFit="1" customWidth="1"/>
    <col min="10" max="10" width="7.5703125" style="1" customWidth="1"/>
    <col min="11" max="11" width="7.42578125" style="1" bestFit="1" customWidth="1"/>
    <col min="12" max="12" width="8.5703125" style="1" customWidth="1"/>
    <col min="13" max="13" width="7.85546875" style="1" customWidth="1"/>
    <col min="14" max="14" width="11.5703125" style="1" customWidth="1"/>
    <col min="15" max="15" width="17.85546875" style="1" customWidth="1"/>
    <col min="16" max="16384" width="9.140625" style="1"/>
  </cols>
  <sheetData>
    <row r="1" spans="1:18" s="2" customFormat="1" ht="21.75" customHeight="1">
      <c r="A1" s="1009" t="s">
        <v>381</v>
      </c>
      <c r="B1" s="1009"/>
      <c r="C1" s="1009"/>
      <c r="D1" s="1009"/>
      <c r="E1" s="1009"/>
      <c r="F1" s="1009"/>
      <c r="G1" s="1009"/>
      <c r="H1" s="1009"/>
      <c r="I1" s="1009"/>
      <c r="J1" s="1009"/>
      <c r="K1" s="1009"/>
      <c r="L1" s="1009"/>
      <c r="M1" s="1009"/>
      <c r="N1" s="1009"/>
      <c r="O1" s="1009"/>
    </row>
    <row r="2" spans="1:18" s="2" customFormat="1" ht="15.75" customHeight="1">
      <c r="A2" s="1036" t="s">
        <v>536</v>
      </c>
      <c r="B2" s="1036"/>
      <c r="C2" s="1036"/>
      <c r="D2" s="1036"/>
      <c r="E2" s="1036"/>
      <c r="F2" s="1036"/>
      <c r="G2" s="1036"/>
      <c r="H2" s="1036"/>
      <c r="I2" s="1036"/>
      <c r="J2" s="1036"/>
      <c r="K2" s="1036"/>
      <c r="L2" s="1036"/>
      <c r="M2" s="1036"/>
      <c r="N2" s="1036"/>
      <c r="O2" s="1036"/>
    </row>
    <row r="3" spans="1:18" s="2" customFormat="1" ht="18" customHeight="1">
      <c r="A3" s="1037">
        <v>2019</v>
      </c>
      <c r="B3" s="1037"/>
      <c r="C3" s="1037"/>
      <c r="D3" s="1037"/>
      <c r="E3" s="1037"/>
      <c r="F3" s="1037"/>
      <c r="G3" s="1037"/>
      <c r="H3" s="1037"/>
      <c r="I3" s="1037"/>
      <c r="J3" s="1037"/>
      <c r="K3" s="1037"/>
      <c r="L3" s="1037"/>
      <c r="M3" s="1037"/>
      <c r="N3" s="1037"/>
      <c r="O3" s="1037"/>
      <c r="P3" s="57"/>
      <c r="Q3" s="57"/>
      <c r="R3" s="57"/>
    </row>
    <row r="4" spans="1:18" s="2" customFormat="1" ht="15.75">
      <c r="A4" s="1037" t="s">
        <v>52</v>
      </c>
      <c r="B4" s="1037"/>
      <c r="C4" s="1037"/>
      <c r="D4" s="1037"/>
      <c r="E4" s="1037"/>
      <c r="F4" s="1037"/>
      <c r="G4" s="1037"/>
      <c r="H4" s="1037"/>
      <c r="I4" s="1037"/>
      <c r="J4" s="1037"/>
      <c r="K4" s="1037"/>
      <c r="L4" s="1037"/>
      <c r="M4" s="1037"/>
      <c r="N4" s="1037"/>
      <c r="O4" s="1037"/>
    </row>
    <row r="5" spans="1:18" s="2" customFormat="1" ht="15.75">
      <c r="A5" s="361"/>
      <c r="B5" s="361"/>
      <c r="C5" s="361"/>
      <c r="D5" s="361"/>
      <c r="E5" s="361"/>
      <c r="F5" s="361"/>
      <c r="G5" s="361"/>
      <c r="H5" s="361"/>
      <c r="I5" s="361"/>
      <c r="J5" s="361"/>
      <c r="K5" s="361"/>
      <c r="L5" s="361"/>
      <c r="M5" s="361"/>
      <c r="N5" s="361"/>
      <c r="O5" s="361"/>
    </row>
    <row r="6" spans="1:18" ht="15.75">
      <c r="A6" s="373" t="s">
        <v>482</v>
      </c>
      <c r="B6" s="377"/>
      <c r="C6" s="377"/>
      <c r="D6" s="377"/>
      <c r="E6" s="377"/>
      <c r="F6" s="377"/>
      <c r="G6" s="377"/>
      <c r="H6" s="377"/>
      <c r="I6" s="377"/>
      <c r="J6" s="377"/>
      <c r="K6" s="377"/>
      <c r="L6" s="377"/>
      <c r="M6" s="377"/>
      <c r="N6" s="377"/>
      <c r="O6" s="375" t="s">
        <v>483</v>
      </c>
    </row>
    <row r="7" spans="1:18" ht="26.25" customHeight="1">
      <c r="A7" s="1188" t="s">
        <v>159</v>
      </c>
      <c r="B7" s="1087" t="s">
        <v>136</v>
      </c>
      <c r="C7" s="1181"/>
      <c r="D7" s="1181"/>
      <c r="E7" s="1181"/>
      <c r="F7" s="1181"/>
      <c r="G7" s="1181"/>
      <c r="H7" s="1181"/>
      <c r="I7" s="1181"/>
      <c r="J7" s="1181"/>
      <c r="K7" s="1181"/>
      <c r="L7" s="1181"/>
      <c r="M7" s="1181"/>
      <c r="N7" s="1200" t="s">
        <v>661</v>
      </c>
      <c r="O7" s="1191" t="s">
        <v>350</v>
      </c>
    </row>
    <row r="8" spans="1:18" ht="47.25" customHeight="1">
      <c r="A8" s="1189"/>
      <c r="B8" s="884">
        <v>-20</v>
      </c>
      <c r="C8" s="884" t="s">
        <v>128</v>
      </c>
      <c r="D8" s="884" t="s">
        <v>127</v>
      </c>
      <c r="E8" s="884" t="s">
        <v>126</v>
      </c>
      <c r="F8" s="884" t="s">
        <v>125</v>
      </c>
      <c r="G8" s="884" t="s">
        <v>124</v>
      </c>
      <c r="H8" s="884" t="s">
        <v>123</v>
      </c>
      <c r="I8" s="884" t="s">
        <v>122</v>
      </c>
      <c r="J8" s="884" t="s">
        <v>121</v>
      </c>
      <c r="K8" s="884" t="s">
        <v>133</v>
      </c>
      <c r="L8" s="328" t="s">
        <v>655</v>
      </c>
      <c r="M8" s="325" t="s">
        <v>605</v>
      </c>
      <c r="N8" s="1201"/>
      <c r="O8" s="1192"/>
    </row>
    <row r="9" spans="1:18" ht="18" customHeight="1" thickBot="1">
      <c r="A9" s="888" t="s">
        <v>437</v>
      </c>
      <c r="B9" s="896">
        <v>0</v>
      </c>
      <c r="C9" s="896">
        <v>0</v>
      </c>
      <c r="D9" s="896">
        <v>0</v>
      </c>
      <c r="E9" s="896">
        <v>0</v>
      </c>
      <c r="F9" s="896">
        <v>0</v>
      </c>
      <c r="G9" s="896">
        <v>0</v>
      </c>
      <c r="H9" s="896">
        <v>0</v>
      </c>
      <c r="I9" s="896">
        <v>0</v>
      </c>
      <c r="J9" s="896">
        <v>0</v>
      </c>
      <c r="K9" s="896">
        <v>0</v>
      </c>
      <c r="L9" s="896">
        <v>0</v>
      </c>
      <c r="M9" s="897">
        <f>SUM(Table_Default__XLS_TAB_40_293[[#This Row],[AGE_LEVEL_LESS_20]:[AGE_LEVEL_NOT_STATED]])</f>
        <v>0</v>
      </c>
      <c r="N9" s="887">
        <f>M9/$M$23%</f>
        <v>0</v>
      </c>
      <c r="O9" s="892" t="s">
        <v>437</v>
      </c>
    </row>
    <row r="10" spans="1:18" ht="18" customHeight="1" thickBot="1">
      <c r="A10" s="889" t="s">
        <v>128</v>
      </c>
      <c r="B10" s="278">
        <v>0</v>
      </c>
      <c r="C10" s="278">
        <v>0</v>
      </c>
      <c r="D10" s="278">
        <v>0</v>
      </c>
      <c r="E10" s="278">
        <v>0</v>
      </c>
      <c r="F10" s="278">
        <v>0</v>
      </c>
      <c r="G10" s="278">
        <v>0</v>
      </c>
      <c r="H10" s="278">
        <v>0</v>
      </c>
      <c r="I10" s="278">
        <v>0</v>
      </c>
      <c r="J10" s="278">
        <v>0</v>
      </c>
      <c r="K10" s="278">
        <v>0</v>
      </c>
      <c r="L10" s="278">
        <v>0</v>
      </c>
      <c r="M10" s="464">
        <f>SUM(Table_Default__XLS_TAB_40_293[[#This Row],[AGE_LEVEL_LESS_20]:[AGE_LEVEL_NOT_STATED]])</f>
        <v>0</v>
      </c>
      <c r="N10" s="9">
        <f t="shared" ref="N10:N22" si="0">M10/$M$23%</f>
        <v>0</v>
      </c>
      <c r="O10" s="893" t="s">
        <v>128</v>
      </c>
    </row>
    <row r="11" spans="1:18" ht="18" customHeight="1" thickBot="1">
      <c r="A11" s="890" t="s">
        <v>127</v>
      </c>
      <c r="B11" s="279">
        <v>0</v>
      </c>
      <c r="C11" s="279">
        <v>0</v>
      </c>
      <c r="D11" s="279">
        <v>0</v>
      </c>
      <c r="E11" s="279">
        <v>0</v>
      </c>
      <c r="F11" s="279">
        <v>0</v>
      </c>
      <c r="G11" s="279">
        <v>0</v>
      </c>
      <c r="H11" s="279">
        <v>0</v>
      </c>
      <c r="I11" s="279">
        <v>0</v>
      </c>
      <c r="J11" s="279">
        <v>0</v>
      </c>
      <c r="K11" s="279">
        <v>0</v>
      </c>
      <c r="L11" s="279">
        <v>0</v>
      </c>
      <c r="M11" s="465">
        <f>SUM(Table_Default__XLS_TAB_40_293[[#This Row],[AGE_LEVEL_LESS_20]:[AGE_LEVEL_NOT_STATED]])</f>
        <v>0</v>
      </c>
      <c r="N11" s="270">
        <f t="shared" si="0"/>
        <v>0</v>
      </c>
      <c r="O11" s="894" t="s">
        <v>127</v>
      </c>
    </row>
    <row r="12" spans="1:18" ht="18" customHeight="1" thickBot="1">
      <c r="A12" s="889" t="s">
        <v>126</v>
      </c>
      <c r="B12" s="278">
        <v>0</v>
      </c>
      <c r="C12" s="278">
        <v>0</v>
      </c>
      <c r="D12" s="278">
        <v>0</v>
      </c>
      <c r="E12" s="278">
        <v>0</v>
      </c>
      <c r="F12" s="278">
        <v>0</v>
      </c>
      <c r="G12" s="278">
        <v>0</v>
      </c>
      <c r="H12" s="278">
        <v>0</v>
      </c>
      <c r="I12" s="278">
        <v>0</v>
      </c>
      <c r="J12" s="278">
        <v>0</v>
      </c>
      <c r="K12" s="278">
        <v>0</v>
      </c>
      <c r="L12" s="278">
        <v>0</v>
      </c>
      <c r="M12" s="464">
        <f>SUM(Table_Default__XLS_TAB_40_293[[#This Row],[AGE_LEVEL_LESS_20]:[AGE_LEVEL_NOT_STATED]])</f>
        <v>0</v>
      </c>
      <c r="N12" s="9">
        <f t="shared" si="0"/>
        <v>0</v>
      </c>
      <c r="O12" s="893" t="s">
        <v>126</v>
      </c>
    </row>
    <row r="13" spans="1:18" ht="18" customHeight="1" thickBot="1">
      <c r="A13" s="890" t="s">
        <v>125</v>
      </c>
      <c r="B13" s="279">
        <v>0</v>
      </c>
      <c r="C13" s="279">
        <v>0</v>
      </c>
      <c r="D13" s="279">
        <v>0</v>
      </c>
      <c r="E13" s="279">
        <v>0</v>
      </c>
      <c r="F13" s="279">
        <v>0</v>
      </c>
      <c r="G13" s="279">
        <v>0</v>
      </c>
      <c r="H13" s="279">
        <v>0</v>
      </c>
      <c r="I13" s="279">
        <v>0</v>
      </c>
      <c r="J13" s="279">
        <v>0</v>
      </c>
      <c r="K13" s="279">
        <v>0</v>
      </c>
      <c r="L13" s="279">
        <v>0</v>
      </c>
      <c r="M13" s="465">
        <f>SUM(Table_Default__XLS_TAB_40_293[[#This Row],[AGE_LEVEL_LESS_20]:[AGE_LEVEL_NOT_STATED]])</f>
        <v>0</v>
      </c>
      <c r="N13" s="270">
        <f t="shared" si="0"/>
        <v>0</v>
      </c>
      <c r="O13" s="894" t="s">
        <v>125</v>
      </c>
    </row>
    <row r="14" spans="1:18" ht="18" customHeight="1" thickBot="1">
      <c r="A14" s="889" t="s">
        <v>124</v>
      </c>
      <c r="B14" s="278">
        <v>0</v>
      </c>
      <c r="C14" s="278">
        <v>0</v>
      </c>
      <c r="D14" s="278">
        <v>0</v>
      </c>
      <c r="E14" s="278">
        <v>5</v>
      </c>
      <c r="F14" s="278">
        <v>4</v>
      </c>
      <c r="G14" s="278">
        <v>0</v>
      </c>
      <c r="H14" s="278">
        <v>0</v>
      </c>
      <c r="I14" s="278">
        <v>0</v>
      </c>
      <c r="J14" s="278">
        <v>0</v>
      </c>
      <c r="K14" s="278">
        <v>0</v>
      </c>
      <c r="L14" s="278">
        <v>0</v>
      </c>
      <c r="M14" s="464">
        <f>SUM(Table_Default__XLS_TAB_40_293[[#This Row],[AGE_LEVEL_LESS_20]:[AGE_LEVEL_NOT_STATED]])</f>
        <v>9</v>
      </c>
      <c r="N14" s="9">
        <f t="shared" si="0"/>
        <v>37.5</v>
      </c>
      <c r="O14" s="893" t="s">
        <v>124</v>
      </c>
    </row>
    <row r="15" spans="1:18" ht="18" customHeight="1" thickBot="1">
      <c r="A15" s="890" t="s">
        <v>123</v>
      </c>
      <c r="B15" s="279">
        <v>0</v>
      </c>
      <c r="C15" s="279">
        <v>0</v>
      </c>
      <c r="D15" s="279">
        <v>0</v>
      </c>
      <c r="E15" s="279">
        <v>0</v>
      </c>
      <c r="F15" s="279">
        <v>0</v>
      </c>
      <c r="G15" s="279">
        <v>2</v>
      </c>
      <c r="H15" s="279">
        <v>3</v>
      </c>
      <c r="I15" s="279">
        <v>0</v>
      </c>
      <c r="J15" s="279">
        <v>0</v>
      </c>
      <c r="K15" s="279">
        <v>0</v>
      </c>
      <c r="L15" s="279">
        <v>0</v>
      </c>
      <c r="M15" s="465">
        <f>SUM(Table_Default__XLS_TAB_40_293[[#This Row],[AGE_LEVEL_LESS_20]:[AGE_LEVEL_NOT_STATED]])</f>
        <v>5</v>
      </c>
      <c r="N15" s="270">
        <f t="shared" si="0"/>
        <v>20.833333333333336</v>
      </c>
      <c r="O15" s="894" t="s">
        <v>123</v>
      </c>
    </row>
    <row r="16" spans="1:18" ht="18" customHeight="1" thickBot="1">
      <c r="A16" s="889" t="s">
        <v>122</v>
      </c>
      <c r="B16" s="278">
        <v>0</v>
      </c>
      <c r="C16" s="278">
        <v>0</v>
      </c>
      <c r="D16" s="278">
        <v>0</v>
      </c>
      <c r="E16" s="278">
        <v>0</v>
      </c>
      <c r="F16" s="278">
        <v>0</v>
      </c>
      <c r="G16" s="278">
        <v>0</v>
      </c>
      <c r="H16" s="278">
        <v>0</v>
      </c>
      <c r="I16" s="278">
        <v>0</v>
      </c>
      <c r="J16" s="278">
        <v>0</v>
      </c>
      <c r="K16" s="278">
        <v>0</v>
      </c>
      <c r="L16" s="278">
        <v>0</v>
      </c>
      <c r="M16" s="464">
        <f>SUM(Table_Default__XLS_TAB_40_293[[#This Row],[AGE_LEVEL_LESS_20]:[AGE_LEVEL_NOT_STATED]])</f>
        <v>0</v>
      </c>
      <c r="N16" s="9">
        <f t="shared" si="0"/>
        <v>0</v>
      </c>
      <c r="O16" s="893" t="s">
        <v>122</v>
      </c>
    </row>
    <row r="17" spans="1:15" ht="18" customHeight="1" thickBot="1">
      <c r="A17" s="890" t="s">
        <v>121</v>
      </c>
      <c r="B17" s="279">
        <v>0</v>
      </c>
      <c r="C17" s="279">
        <v>0</v>
      </c>
      <c r="D17" s="279">
        <v>0</v>
      </c>
      <c r="E17" s="279">
        <v>0</v>
      </c>
      <c r="F17" s="279">
        <v>0</v>
      </c>
      <c r="G17" s="279">
        <v>0</v>
      </c>
      <c r="H17" s="279">
        <v>4</v>
      </c>
      <c r="I17" s="279">
        <v>3</v>
      </c>
      <c r="J17" s="279">
        <v>0</v>
      </c>
      <c r="K17" s="279">
        <v>0</v>
      </c>
      <c r="L17" s="279">
        <v>0</v>
      </c>
      <c r="M17" s="465">
        <f>SUM(Table_Default__XLS_TAB_40_293[[#This Row],[AGE_LEVEL_LESS_20]:[AGE_LEVEL_NOT_STATED]])</f>
        <v>7</v>
      </c>
      <c r="N17" s="270">
        <f t="shared" si="0"/>
        <v>29.166666666666668</v>
      </c>
      <c r="O17" s="894" t="s">
        <v>121</v>
      </c>
    </row>
    <row r="18" spans="1:15" ht="18" customHeight="1" thickBot="1">
      <c r="A18" s="889" t="s">
        <v>120</v>
      </c>
      <c r="B18" s="278">
        <v>0</v>
      </c>
      <c r="C18" s="278">
        <v>0</v>
      </c>
      <c r="D18" s="278">
        <v>0</v>
      </c>
      <c r="E18" s="278">
        <v>0</v>
      </c>
      <c r="F18" s="278">
        <v>0</v>
      </c>
      <c r="G18" s="278">
        <v>0</v>
      </c>
      <c r="H18" s="278">
        <v>0</v>
      </c>
      <c r="I18" s="278">
        <v>0</v>
      </c>
      <c r="J18" s="278">
        <v>0</v>
      </c>
      <c r="K18" s="278">
        <v>0</v>
      </c>
      <c r="L18" s="278">
        <v>0</v>
      </c>
      <c r="M18" s="464">
        <f>SUM(Table_Default__XLS_TAB_40_293[[#This Row],[AGE_LEVEL_LESS_20]:[AGE_LEVEL_NOT_STATED]])</f>
        <v>0</v>
      </c>
      <c r="N18" s="9">
        <f t="shared" si="0"/>
        <v>0</v>
      </c>
      <c r="O18" s="893" t="s">
        <v>120</v>
      </c>
    </row>
    <row r="19" spans="1:15" ht="18" customHeight="1" thickBot="1">
      <c r="A19" s="890" t="s">
        <v>119</v>
      </c>
      <c r="B19" s="279">
        <v>0</v>
      </c>
      <c r="C19" s="279">
        <v>0</v>
      </c>
      <c r="D19" s="279">
        <v>0</v>
      </c>
      <c r="E19" s="279">
        <v>0</v>
      </c>
      <c r="F19" s="279">
        <v>0</v>
      </c>
      <c r="G19" s="279">
        <v>0</v>
      </c>
      <c r="H19" s="279">
        <v>0</v>
      </c>
      <c r="I19" s="279">
        <v>0</v>
      </c>
      <c r="J19" s="279">
        <v>0</v>
      </c>
      <c r="K19" s="279">
        <v>0</v>
      </c>
      <c r="L19" s="279">
        <v>0</v>
      </c>
      <c r="M19" s="465">
        <f>SUM(Table_Default__XLS_TAB_40_293[[#This Row],[AGE_LEVEL_LESS_20]:[AGE_LEVEL_NOT_STATED]])</f>
        <v>0</v>
      </c>
      <c r="N19" s="270">
        <f t="shared" si="0"/>
        <v>0</v>
      </c>
      <c r="O19" s="894" t="s">
        <v>119</v>
      </c>
    </row>
    <row r="20" spans="1:15" ht="18" customHeight="1" thickBot="1">
      <c r="A20" s="889" t="s">
        <v>118</v>
      </c>
      <c r="B20" s="278">
        <v>0</v>
      </c>
      <c r="C20" s="278">
        <v>0</v>
      </c>
      <c r="D20" s="278">
        <v>0</v>
      </c>
      <c r="E20" s="278">
        <v>0</v>
      </c>
      <c r="F20" s="278">
        <v>0</v>
      </c>
      <c r="G20" s="278">
        <v>0</v>
      </c>
      <c r="H20" s="278">
        <v>0</v>
      </c>
      <c r="I20" s="278">
        <v>0</v>
      </c>
      <c r="J20" s="278">
        <v>0</v>
      </c>
      <c r="K20" s="278">
        <v>0</v>
      </c>
      <c r="L20" s="278">
        <v>0</v>
      </c>
      <c r="M20" s="464">
        <f>SUM(Table_Default__XLS_TAB_40_293[[#This Row],[AGE_LEVEL_LESS_20]:[AGE_LEVEL_NOT_STATED]])</f>
        <v>0</v>
      </c>
      <c r="N20" s="9">
        <f t="shared" si="0"/>
        <v>0</v>
      </c>
      <c r="O20" s="893" t="s">
        <v>118</v>
      </c>
    </row>
    <row r="21" spans="1:15" ht="18" customHeight="1" thickBot="1">
      <c r="A21" s="890" t="s">
        <v>117</v>
      </c>
      <c r="B21" s="279">
        <v>0</v>
      </c>
      <c r="C21" s="279">
        <v>0</v>
      </c>
      <c r="D21" s="279">
        <v>0</v>
      </c>
      <c r="E21" s="279">
        <v>0</v>
      </c>
      <c r="F21" s="279">
        <v>0</v>
      </c>
      <c r="G21" s="279">
        <v>0</v>
      </c>
      <c r="H21" s="279">
        <v>0</v>
      </c>
      <c r="I21" s="279">
        <v>0</v>
      </c>
      <c r="J21" s="279">
        <v>0</v>
      </c>
      <c r="K21" s="279">
        <v>0</v>
      </c>
      <c r="L21" s="279">
        <v>0</v>
      </c>
      <c r="M21" s="465">
        <f>SUM(Table_Default__XLS_TAB_40_293[[#This Row],[AGE_LEVEL_LESS_20]:[AGE_LEVEL_NOT_STATED]])</f>
        <v>0</v>
      </c>
      <c r="N21" s="270">
        <f t="shared" si="0"/>
        <v>0</v>
      </c>
      <c r="O21" s="894" t="s">
        <v>117</v>
      </c>
    </row>
    <row r="22" spans="1:15" ht="18" customHeight="1">
      <c r="A22" s="891" t="s">
        <v>15</v>
      </c>
      <c r="B22" s="280">
        <v>0</v>
      </c>
      <c r="C22" s="280">
        <v>0</v>
      </c>
      <c r="D22" s="280">
        <v>0</v>
      </c>
      <c r="E22" s="280">
        <v>0</v>
      </c>
      <c r="F22" s="280">
        <v>0</v>
      </c>
      <c r="G22" s="280">
        <v>3</v>
      </c>
      <c r="H22" s="280">
        <v>0</v>
      </c>
      <c r="I22" s="280">
        <v>0</v>
      </c>
      <c r="J22" s="280">
        <v>0</v>
      </c>
      <c r="K22" s="280">
        <v>0</v>
      </c>
      <c r="L22" s="280">
        <v>0</v>
      </c>
      <c r="M22" s="466">
        <f>SUM(Table_Default__XLS_TAB_40_293[[#This Row],[AGE_LEVEL_LESS_20]:[AGE_LEVEL_NOT_STATED]])</f>
        <v>3</v>
      </c>
      <c r="N22" s="60">
        <f t="shared" si="0"/>
        <v>12.5</v>
      </c>
      <c r="O22" s="895" t="s">
        <v>16</v>
      </c>
    </row>
    <row r="23" spans="1:15" ht="18" customHeight="1" thickBot="1">
      <c r="A23" s="267" t="s">
        <v>17</v>
      </c>
      <c r="B23" s="275">
        <f t="shared" ref="B23:L23" si="1">SUM(B9:B22)</f>
        <v>0</v>
      </c>
      <c r="C23" s="275">
        <f t="shared" si="1"/>
        <v>0</v>
      </c>
      <c r="D23" s="275">
        <f t="shared" si="1"/>
        <v>0</v>
      </c>
      <c r="E23" s="275">
        <f t="shared" si="1"/>
        <v>5</v>
      </c>
      <c r="F23" s="275">
        <f t="shared" si="1"/>
        <v>4</v>
      </c>
      <c r="G23" s="275">
        <f t="shared" si="1"/>
        <v>5</v>
      </c>
      <c r="H23" s="275">
        <f t="shared" si="1"/>
        <v>7</v>
      </c>
      <c r="I23" s="275">
        <f t="shared" si="1"/>
        <v>3</v>
      </c>
      <c r="J23" s="275">
        <f t="shared" si="1"/>
        <v>0</v>
      </c>
      <c r="K23" s="275">
        <f t="shared" si="1"/>
        <v>0</v>
      </c>
      <c r="L23" s="275">
        <f t="shared" si="1"/>
        <v>0</v>
      </c>
      <c r="M23" s="275">
        <f>SUM(M9:M22)</f>
        <v>24</v>
      </c>
      <c r="N23" s="275">
        <f t="shared" ref="N23" si="2">SUM(N9:N22)</f>
        <v>100</v>
      </c>
      <c r="O23" s="269" t="s">
        <v>56</v>
      </c>
    </row>
    <row r="24" spans="1:15" ht="18" customHeight="1">
      <c r="A24" s="486" t="s">
        <v>380</v>
      </c>
      <c r="B24" s="495">
        <f t="shared" ref="B24:L24" si="3">B23/$M$23%</f>
        <v>0</v>
      </c>
      <c r="C24" s="495">
        <f t="shared" si="3"/>
        <v>0</v>
      </c>
      <c r="D24" s="495">
        <f t="shared" si="3"/>
        <v>0</v>
      </c>
      <c r="E24" s="495">
        <f t="shared" si="3"/>
        <v>20.833333333333336</v>
      </c>
      <c r="F24" s="495">
        <f>F23/$M$23%</f>
        <v>16.666666666666668</v>
      </c>
      <c r="G24" s="495">
        <f t="shared" si="3"/>
        <v>20.833333333333336</v>
      </c>
      <c r="H24" s="495">
        <f t="shared" si="3"/>
        <v>29.166666666666668</v>
      </c>
      <c r="I24" s="495">
        <f t="shared" si="3"/>
        <v>12.5</v>
      </c>
      <c r="J24" s="495">
        <f t="shared" si="3"/>
        <v>0</v>
      </c>
      <c r="K24" s="495">
        <f t="shared" si="3"/>
        <v>0</v>
      </c>
      <c r="L24" s="495">
        <f t="shared" si="3"/>
        <v>0</v>
      </c>
      <c r="M24" s="495">
        <f>SUM(B24:L24)</f>
        <v>100</v>
      </c>
      <c r="N24" s="1198" t="s">
        <v>20</v>
      </c>
      <c r="O24" s="1199"/>
    </row>
    <row r="25" spans="1:15" ht="14.25">
      <c r="A25" s="775" t="s">
        <v>580</v>
      </c>
      <c r="O25" s="5" t="s">
        <v>701</v>
      </c>
    </row>
    <row r="31" spans="1:15" ht="192" thickBot="1">
      <c r="B31" s="13" t="s">
        <v>575</v>
      </c>
      <c r="C31" s="13" t="s">
        <v>574</v>
      </c>
    </row>
    <row r="32" spans="1:15" ht="15.75" thickBot="1">
      <c r="A32" s="86">
        <v>-20</v>
      </c>
      <c r="B32" s="1">
        <f>B23</f>
        <v>0</v>
      </c>
      <c r="C32" s="1">
        <f>M9</f>
        <v>0</v>
      </c>
    </row>
    <row r="33" spans="1:3" ht="15.75" thickBot="1">
      <c r="A33" s="86" t="s">
        <v>6</v>
      </c>
      <c r="B33" s="1">
        <f>C23</f>
        <v>0</v>
      </c>
      <c r="C33" s="1">
        <f t="shared" ref="C33:C40" si="4">M10</f>
        <v>0</v>
      </c>
    </row>
    <row r="34" spans="1:3" ht="15.75" thickBot="1">
      <c r="A34" s="86" t="s">
        <v>7</v>
      </c>
      <c r="B34" s="1">
        <f>D23</f>
        <v>0</v>
      </c>
      <c r="C34" s="1">
        <f t="shared" si="4"/>
        <v>0</v>
      </c>
    </row>
    <row r="35" spans="1:3" ht="15.75" thickBot="1">
      <c r="A35" s="86" t="s">
        <v>8</v>
      </c>
      <c r="B35" s="1">
        <f>E23</f>
        <v>5</v>
      </c>
      <c r="C35" s="1">
        <f t="shared" si="4"/>
        <v>0</v>
      </c>
    </row>
    <row r="36" spans="1:3" ht="15.75" thickBot="1">
      <c r="A36" s="86" t="s">
        <v>9</v>
      </c>
      <c r="B36" s="1">
        <f>F23</f>
        <v>4</v>
      </c>
      <c r="C36" s="1">
        <f t="shared" si="4"/>
        <v>0</v>
      </c>
    </row>
    <row r="37" spans="1:3" ht="15.75" thickBot="1">
      <c r="A37" s="86" t="s">
        <v>10</v>
      </c>
      <c r="B37" s="1">
        <f>G23</f>
        <v>5</v>
      </c>
      <c r="C37" s="1">
        <f t="shared" si="4"/>
        <v>9</v>
      </c>
    </row>
    <row r="38" spans="1:3" ht="15.75" thickBot="1">
      <c r="A38" s="86" t="s">
        <v>11</v>
      </c>
      <c r="B38" s="1">
        <f>H23</f>
        <v>7</v>
      </c>
      <c r="C38" s="1">
        <f t="shared" si="4"/>
        <v>5</v>
      </c>
    </row>
    <row r="39" spans="1:3" ht="15.75" thickBot="1">
      <c r="A39" s="86" t="s">
        <v>12</v>
      </c>
      <c r="B39" s="1">
        <f>I23</f>
        <v>3</v>
      </c>
      <c r="C39" s="1">
        <f t="shared" si="4"/>
        <v>0</v>
      </c>
    </row>
    <row r="40" spans="1:3" ht="15.75" thickBot="1">
      <c r="A40" s="86" t="s">
        <v>13</v>
      </c>
      <c r="B40" s="1">
        <f>J23</f>
        <v>0</v>
      </c>
      <c r="C40" s="1">
        <f t="shared" si="4"/>
        <v>7</v>
      </c>
    </row>
    <row r="41" spans="1:3" ht="15.75" thickBot="1">
      <c r="A41" s="86" t="s">
        <v>14</v>
      </c>
      <c r="B41" s="1">
        <f>K23</f>
        <v>0</v>
      </c>
      <c r="C41" s="1">
        <f>SUM(M18:M21)</f>
        <v>0</v>
      </c>
    </row>
    <row r="42" spans="1:3" ht="30.75" thickBot="1">
      <c r="A42" s="86" t="s">
        <v>450</v>
      </c>
      <c r="B42" s="274">
        <f>L23</f>
        <v>0</v>
      </c>
      <c r="C42" s="1">
        <f>M22</f>
        <v>3</v>
      </c>
    </row>
    <row r="43" spans="1:3">
      <c r="B43" s="1">
        <f>SUM(B32:B42)</f>
        <v>24</v>
      </c>
      <c r="C43" s="1">
        <f>SUM(C32:C42)</f>
        <v>24</v>
      </c>
    </row>
  </sheetData>
  <mergeCells count="9">
    <mergeCell ref="A1:O1"/>
    <mergeCell ref="A2:O2"/>
    <mergeCell ref="A3:O3"/>
    <mergeCell ref="A4:O4"/>
    <mergeCell ref="N24:O24"/>
    <mergeCell ref="A7:A8"/>
    <mergeCell ref="B7:M7"/>
    <mergeCell ref="O7:O8"/>
    <mergeCell ref="N7:N8"/>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37:N37"/>
  <sheetViews>
    <sheetView rightToLeft="1" view="pageBreakPreview" topLeftCell="A4" zoomScaleNormal="100" zoomScaleSheetLayoutView="100" workbookViewId="0">
      <selection activeCell="M18" sqref="M18"/>
    </sheetView>
  </sheetViews>
  <sheetFormatPr defaultColWidth="9.140625" defaultRowHeight="12.75"/>
  <cols>
    <col min="1" max="16384" width="9.140625" style="1"/>
  </cols>
  <sheetData>
    <row r="37" spans="1:14" ht="15.75">
      <c r="A37" s="1038" t="s">
        <v>383</v>
      </c>
      <c r="B37" s="1038"/>
      <c r="C37" s="1038"/>
      <c r="D37" s="1038"/>
      <c r="E37" s="1038"/>
      <c r="F37" s="1038"/>
      <c r="G37" s="1038"/>
      <c r="H37" s="1038"/>
      <c r="I37" s="1038"/>
      <c r="J37" s="1038"/>
      <c r="K37" s="1038"/>
      <c r="L37" s="1038"/>
      <c r="M37" s="1038"/>
      <c r="N37" s="1038"/>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R43"/>
  <sheetViews>
    <sheetView rightToLeft="1" view="pageBreakPreview" topLeftCell="A7" zoomScaleNormal="100" zoomScaleSheetLayoutView="100" workbookViewId="0">
      <selection activeCell="M18" sqref="M18"/>
    </sheetView>
  </sheetViews>
  <sheetFormatPr defaultColWidth="9.140625" defaultRowHeight="12.75"/>
  <cols>
    <col min="1" max="1" width="17.85546875" style="1" customWidth="1"/>
    <col min="2" max="2" width="7" style="1" customWidth="1"/>
    <col min="3" max="3" width="8.140625" style="1" customWidth="1"/>
    <col min="4" max="9" width="7.42578125" style="1" bestFit="1" customWidth="1"/>
    <col min="10" max="10" width="7.5703125" style="1" customWidth="1"/>
    <col min="11" max="11" width="7.42578125" style="1" bestFit="1" customWidth="1"/>
    <col min="12" max="12" width="8.5703125" style="1" customWidth="1"/>
    <col min="13" max="13" width="7.85546875" style="1" customWidth="1"/>
    <col min="14" max="14" width="11.5703125" style="1" customWidth="1"/>
    <col min="15" max="15" width="17.85546875" style="1" customWidth="1"/>
    <col min="16" max="16384" width="9.140625" style="1"/>
  </cols>
  <sheetData>
    <row r="1" spans="1:18" s="2" customFormat="1" ht="21.75" customHeight="1">
      <c r="A1" s="1009" t="s">
        <v>381</v>
      </c>
      <c r="B1" s="1009"/>
      <c r="C1" s="1009"/>
      <c r="D1" s="1009"/>
      <c r="E1" s="1009"/>
      <c r="F1" s="1009"/>
      <c r="G1" s="1009"/>
      <c r="H1" s="1009"/>
      <c r="I1" s="1009"/>
      <c r="J1" s="1009"/>
      <c r="K1" s="1009"/>
      <c r="L1" s="1009"/>
      <c r="M1" s="1009"/>
      <c r="N1" s="1009"/>
      <c r="O1" s="1009"/>
    </row>
    <row r="2" spans="1:18" s="2" customFormat="1" ht="15.75" customHeight="1">
      <c r="A2" s="1036" t="s">
        <v>536</v>
      </c>
      <c r="B2" s="1036"/>
      <c r="C2" s="1036"/>
      <c r="D2" s="1036"/>
      <c r="E2" s="1036"/>
      <c r="F2" s="1036"/>
      <c r="G2" s="1036"/>
      <c r="H2" s="1036"/>
      <c r="I2" s="1036"/>
      <c r="J2" s="1036"/>
      <c r="K2" s="1036"/>
      <c r="L2" s="1036"/>
      <c r="M2" s="1036"/>
      <c r="N2" s="1036"/>
      <c r="O2" s="1036"/>
    </row>
    <row r="3" spans="1:18" s="2" customFormat="1" ht="18" customHeight="1">
      <c r="A3" s="1037">
        <v>2019</v>
      </c>
      <c r="B3" s="1037"/>
      <c r="C3" s="1037"/>
      <c r="D3" s="1037"/>
      <c r="E3" s="1037"/>
      <c r="F3" s="1037"/>
      <c r="G3" s="1037"/>
      <c r="H3" s="1037"/>
      <c r="I3" s="1037"/>
      <c r="J3" s="1037"/>
      <c r="K3" s="1037"/>
      <c r="L3" s="1037"/>
      <c r="M3" s="1037"/>
      <c r="N3" s="1037"/>
      <c r="O3" s="1037"/>
      <c r="P3" s="57"/>
      <c r="Q3" s="57"/>
      <c r="R3" s="57"/>
    </row>
    <row r="4" spans="1:18" s="2" customFormat="1" ht="15.75">
      <c r="A4" s="1037" t="s">
        <v>1</v>
      </c>
      <c r="B4" s="1037"/>
      <c r="C4" s="1037"/>
      <c r="D4" s="1037"/>
      <c r="E4" s="1037"/>
      <c r="F4" s="1037"/>
      <c r="G4" s="1037"/>
      <c r="H4" s="1037"/>
      <c r="I4" s="1037"/>
      <c r="J4" s="1037"/>
      <c r="K4" s="1037"/>
      <c r="L4" s="1037"/>
      <c r="M4" s="1037"/>
      <c r="N4" s="1037"/>
      <c r="O4" s="1037"/>
    </row>
    <row r="5" spans="1:18" s="2" customFormat="1" ht="15.75">
      <c r="A5" s="361"/>
      <c r="B5" s="361"/>
      <c r="C5" s="361"/>
      <c r="D5" s="361"/>
      <c r="E5" s="361"/>
      <c r="F5" s="361"/>
      <c r="G5" s="361"/>
      <c r="H5" s="361"/>
      <c r="I5" s="361"/>
      <c r="J5" s="361"/>
      <c r="K5" s="361"/>
      <c r="L5" s="361"/>
      <c r="M5" s="361"/>
      <c r="N5" s="361"/>
      <c r="O5" s="361"/>
    </row>
    <row r="6" spans="1:18" ht="15.75">
      <c r="A6" s="373" t="s">
        <v>480</v>
      </c>
      <c r="B6" s="377"/>
      <c r="C6" s="377"/>
      <c r="D6" s="377"/>
      <c r="E6" s="377"/>
      <c r="F6" s="377"/>
      <c r="G6" s="377"/>
      <c r="H6" s="377"/>
      <c r="I6" s="377"/>
      <c r="J6" s="377"/>
      <c r="K6" s="377"/>
      <c r="L6" s="377"/>
      <c r="M6" s="377"/>
      <c r="N6" s="377"/>
      <c r="O6" s="375" t="s">
        <v>481</v>
      </c>
    </row>
    <row r="7" spans="1:18" ht="26.25" customHeight="1">
      <c r="A7" s="1188" t="s">
        <v>159</v>
      </c>
      <c r="B7" s="1087" t="s">
        <v>136</v>
      </c>
      <c r="C7" s="1181"/>
      <c r="D7" s="1181"/>
      <c r="E7" s="1181"/>
      <c r="F7" s="1181"/>
      <c r="G7" s="1181"/>
      <c r="H7" s="1181"/>
      <c r="I7" s="1181"/>
      <c r="J7" s="1181"/>
      <c r="K7" s="1181"/>
      <c r="L7" s="1181"/>
      <c r="M7" s="1181"/>
      <c r="N7" s="1200" t="s">
        <v>661</v>
      </c>
      <c r="O7" s="1191" t="s">
        <v>350</v>
      </c>
    </row>
    <row r="8" spans="1:18" ht="47.25" customHeight="1">
      <c r="A8" s="1189"/>
      <c r="B8" s="884">
        <v>-20</v>
      </c>
      <c r="C8" s="884" t="s">
        <v>128</v>
      </c>
      <c r="D8" s="884" t="s">
        <v>127</v>
      </c>
      <c r="E8" s="884" t="s">
        <v>126</v>
      </c>
      <c r="F8" s="884" t="s">
        <v>125</v>
      </c>
      <c r="G8" s="884" t="s">
        <v>124</v>
      </c>
      <c r="H8" s="884" t="s">
        <v>123</v>
      </c>
      <c r="I8" s="884" t="s">
        <v>122</v>
      </c>
      <c r="J8" s="884" t="s">
        <v>121</v>
      </c>
      <c r="K8" s="884" t="s">
        <v>133</v>
      </c>
      <c r="L8" s="328" t="s">
        <v>655</v>
      </c>
      <c r="M8" s="325" t="s">
        <v>605</v>
      </c>
      <c r="N8" s="1201"/>
      <c r="O8" s="1192"/>
    </row>
    <row r="9" spans="1:18" ht="18" customHeight="1" thickBot="1">
      <c r="A9" s="888" t="s">
        <v>437</v>
      </c>
      <c r="B9" s="749">
        <v>0</v>
      </c>
      <c r="C9" s="277">
        <v>0</v>
      </c>
      <c r="D9" s="277">
        <v>0</v>
      </c>
      <c r="E9" s="277">
        <v>0</v>
      </c>
      <c r="F9" s="277">
        <v>0</v>
      </c>
      <c r="G9" s="277">
        <v>0</v>
      </c>
      <c r="H9" s="277">
        <v>0</v>
      </c>
      <c r="I9" s="277">
        <v>0</v>
      </c>
      <c r="J9" s="277">
        <v>0</v>
      </c>
      <c r="K9" s="277">
        <v>0</v>
      </c>
      <c r="L9" s="277">
        <v>0</v>
      </c>
      <c r="M9" s="467">
        <f>SUM(Table_Default__XLS_TAB_40_394[[#This Row],[AGE_LEVEL_LESS_20]:[AGE_LEVEL_NOT_STATED]])</f>
        <v>0</v>
      </c>
      <c r="N9" s="887">
        <f>M9/$M$23%</f>
        <v>0</v>
      </c>
      <c r="O9" s="892" t="s">
        <v>437</v>
      </c>
    </row>
    <row r="10" spans="1:18" ht="18" customHeight="1" thickBot="1">
      <c r="A10" s="889" t="s">
        <v>128</v>
      </c>
      <c r="B10" s="746">
        <v>0</v>
      </c>
      <c r="C10" s="278">
        <v>0</v>
      </c>
      <c r="D10" s="278">
        <v>0</v>
      </c>
      <c r="E10" s="278">
        <v>1</v>
      </c>
      <c r="F10" s="278">
        <v>0</v>
      </c>
      <c r="G10" s="278">
        <v>0</v>
      </c>
      <c r="H10" s="278">
        <v>0</v>
      </c>
      <c r="I10" s="278">
        <v>0</v>
      </c>
      <c r="J10" s="278">
        <v>0</v>
      </c>
      <c r="K10" s="278">
        <v>0</v>
      </c>
      <c r="L10" s="278">
        <v>0</v>
      </c>
      <c r="M10" s="464">
        <f>SUM(Table_Default__XLS_TAB_40_394[[#This Row],[AGE_LEVEL_LESS_20]:[AGE_LEVEL_NOT_STATED]])</f>
        <v>1</v>
      </c>
      <c r="N10" s="9">
        <f t="shared" ref="N10:N22" si="0">M10/$M$23%</f>
        <v>1.4492753623188408</v>
      </c>
      <c r="O10" s="893" t="s">
        <v>128</v>
      </c>
    </row>
    <row r="11" spans="1:18" ht="18" customHeight="1" thickBot="1">
      <c r="A11" s="890" t="s">
        <v>127</v>
      </c>
      <c r="B11" s="747">
        <v>0</v>
      </c>
      <c r="C11" s="279">
        <v>0</v>
      </c>
      <c r="D11" s="279">
        <v>0</v>
      </c>
      <c r="E11" s="279">
        <v>2</v>
      </c>
      <c r="F11" s="279">
        <v>0</v>
      </c>
      <c r="G11" s="279">
        <v>0</v>
      </c>
      <c r="H11" s="279">
        <v>0</v>
      </c>
      <c r="I11" s="279">
        <v>0</v>
      </c>
      <c r="J11" s="279">
        <v>0</v>
      </c>
      <c r="K11" s="279">
        <v>0</v>
      </c>
      <c r="L11" s="279">
        <v>0</v>
      </c>
      <c r="M11" s="465">
        <f>SUM(Table_Default__XLS_TAB_40_394[[#This Row],[AGE_LEVEL_LESS_20]:[AGE_LEVEL_NOT_STATED]])</f>
        <v>2</v>
      </c>
      <c r="N11" s="270">
        <f t="shared" si="0"/>
        <v>2.8985507246376816</v>
      </c>
      <c r="O11" s="894" t="s">
        <v>127</v>
      </c>
    </row>
    <row r="12" spans="1:18" ht="18" customHeight="1" thickBot="1">
      <c r="A12" s="889" t="s">
        <v>126</v>
      </c>
      <c r="B12" s="746">
        <v>0</v>
      </c>
      <c r="C12" s="278">
        <v>0</v>
      </c>
      <c r="D12" s="278">
        <v>0</v>
      </c>
      <c r="E12" s="278">
        <v>4</v>
      </c>
      <c r="F12" s="278">
        <v>0</v>
      </c>
      <c r="G12" s="278">
        <v>0</v>
      </c>
      <c r="H12" s="278">
        <v>0</v>
      </c>
      <c r="I12" s="278">
        <v>0</v>
      </c>
      <c r="J12" s="278">
        <v>0</v>
      </c>
      <c r="K12" s="278">
        <v>0</v>
      </c>
      <c r="L12" s="278">
        <v>0</v>
      </c>
      <c r="M12" s="464">
        <f>SUM(Table_Default__XLS_TAB_40_394[[#This Row],[AGE_LEVEL_LESS_20]:[AGE_LEVEL_NOT_STATED]])</f>
        <v>4</v>
      </c>
      <c r="N12" s="9">
        <f t="shared" si="0"/>
        <v>5.7971014492753632</v>
      </c>
      <c r="O12" s="893" t="s">
        <v>126</v>
      </c>
    </row>
    <row r="13" spans="1:18" ht="18" customHeight="1" thickBot="1">
      <c r="A13" s="890" t="s">
        <v>125</v>
      </c>
      <c r="B13" s="747">
        <v>0</v>
      </c>
      <c r="C13" s="279">
        <v>0</v>
      </c>
      <c r="D13" s="279">
        <v>2</v>
      </c>
      <c r="E13" s="279">
        <v>0</v>
      </c>
      <c r="F13" s="279">
        <v>3</v>
      </c>
      <c r="G13" s="279">
        <v>0</v>
      </c>
      <c r="H13" s="279">
        <v>0</v>
      </c>
      <c r="I13" s="279">
        <v>0</v>
      </c>
      <c r="J13" s="279">
        <v>0</v>
      </c>
      <c r="K13" s="279">
        <v>0</v>
      </c>
      <c r="L13" s="279">
        <v>0</v>
      </c>
      <c r="M13" s="465">
        <f>SUM(Table_Default__XLS_TAB_40_394[[#This Row],[AGE_LEVEL_LESS_20]:[AGE_LEVEL_NOT_STATED]])</f>
        <v>5</v>
      </c>
      <c r="N13" s="270">
        <f t="shared" si="0"/>
        <v>7.2463768115942031</v>
      </c>
      <c r="O13" s="894" t="s">
        <v>125</v>
      </c>
    </row>
    <row r="14" spans="1:18" ht="18" customHeight="1" thickBot="1">
      <c r="A14" s="889" t="s">
        <v>124</v>
      </c>
      <c r="B14" s="746">
        <v>0</v>
      </c>
      <c r="C14" s="278">
        <v>0</v>
      </c>
      <c r="D14" s="278">
        <v>0</v>
      </c>
      <c r="E14" s="278">
        <v>5</v>
      </c>
      <c r="F14" s="278">
        <v>4</v>
      </c>
      <c r="G14" s="278">
        <v>1</v>
      </c>
      <c r="H14" s="278">
        <v>0</v>
      </c>
      <c r="I14" s="278">
        <v>0</v>
      </c>
      <c r="J14" s="278">
        <v>0</v>
      </c>
      <c r="K14" s="278">
        <v>0</v>
      </c>
      <c r="L14" s="278">
        <v>0</v>
      </c>
      <c r="M14" s="464">
        <f>SUM(Table_Default__XLS_TAB_40_394[[#This Row],[AGE_LEVEL_LESS_20]:[AGE_LEVEL_NOT_STATED]])</f>
        <v>10</v>
      </c>
      <c r="N14" s="9">
        <f t="shared" si="0"/>
        <v>14.492753623188406</v>
      </c>
      <c r="O14" s="893" t="s">
        <v>124</v>
      </c>
    </row>
    <row r="15" spans="1:18" ht="18" customHeight="1" thickBot="1">
      <c r="A15" s="890" t="s">
        <v>123</v>
      </c>
      <c r="B15" s="747">
        <v>0</v>
      </c>
      <c r="C15" s="279">
        <v>0</v>
      </c>
      <c r="D15" s="279">
        <v>0</v>
      </c>
      <c r="E15" s="279">
        <v>0</v>
      </c>
      <c r="F15" s="279">
        <v>0</v>
      </c>
      <c r="G15" s="279">
        <v>2</v>
      </c>
      <c r="H15" s="279">
        <v>10</v>
      </c>
      <c r="I15" s="279">
        <v>0</v>
      </c>
      <c r="J15" s="279">
        <v>0</v>
      </c>
      <c r="K15" s="279">
        <v>0</v>
      </c>
      <c r="L15" s="279">
        <v>0</v>
      </c>
      <c r="M15" s="465">
        <f>SUM(Table_Default__XLS_TAB_40_394[[#This Row],[AGE_LEVEL_LESS_20]:[AGE_LEVEL_NOT_STATED]])</f>
        <v>12</v>
      </c>
      <c r="N15" s="270">
        <f t="shared" si="0"/>
        <v>17.39130434782609</v>
      </c>
      <c r="O15" s="894" t="s">
        <v>123</v>
      </c>
    </row>
    <row r="16" spans="1:18" ht="18" customHeight="1" thickBot="1">
      <c r="A16" s="889" t="s">
        <v>122</v>
      </c>
      <c r="B16" s="746">
        <v>0</v>
      </c>
      <c r="C16" s="278">
        <v>0</v>
      </c>
      <c r="D16" s="278">
        <v>0</v>
      </c>
      <c r="E16" s="278">
        <v>0</v>
      </c>
      <c r="F16" s="278">
        <v>0</v>
      </c>
      <c r="G16" s="278">
        <v>0</v>
      </c>
      <c r="H16" s="278">
        <v>7</v>
      </c>
      <c r="I16" s="278">
        <v>5</v>
      </c>
      <c r="J16" s="278">
        <v>7</v>
      </c>
      <c r="K16" s="278">
        <v>0</v>
      </c>
      <c r="L16" s="278">
        <v>0</v>
      </c>
      <c r="M16" s="464">
        <f>SUM(Table_Default__XLS_TAB_40_394[[#This Row],[AGE_LEVEL_LESS_20]:[AGE_LEVEL_NOT_STATED]])</f>
        <v>19</v>
      </c>
      <c r="N16" s="9">
        <f t="shared" si="0"/>
        <v>27.536231884057973</v>
      </c>
      <c r="O16" s="893" t="s">
        <v>122</v>
      </c>
    </row>
    <row r="17" spans="1:15" ht="18" customHeight="1" thickBot="1">
      <c r="A17" s="890" t="s">
        <v>121</v>
      </c>
      <c r="B17" s="747">
        <v>0</v>
      </c>
      <c r="C17" s="279">
        <v>0</v>
      </c>
      <c r="D17" s="279">
        <v>0</v>
      </c>
      <c r="E17" s="279">
        <v>0</v>
      </c>
      <c r="F17" s="279">
        <v>0</v>
      </c>
      <c r="G17" s="279">
        <v>0</v>
      </c>
      <c r="H17" s="279">
        <v>10</v>
      </c>
      <c r="I17" s="279">
        <v>3</v>
      </c>
      <c r="J17" s="279">
        <v>0</v>
      </c>
      <c r="K17" s="279">
        <v>0</v>
      </c>
      <c r="L17" s="279">
        <v>0</v>
      </c>
      <c r="M17" s="465">
        <f>SUM(Table_Default__XLS_TAB_40_394[[#This Row],[AGE_LEVEL_LESS_20]:[AGE_LEVEL_NOT_STATED]])</f>
        <v>13</v>
      </c>
      <c r="N17" s="270">
        <f t="shared" si="0"/>
        <v>18.840579710144929</v>
      </c>
      <c r="O17" s="894" t="s">
        <v>121</v>
      </c>
    </row>
    <row r="18" spans="1:15" ht="18" customHeight="1" thickBot="1">
      <c r="A18" s="889" t="s">
        <v>120</v>
      </c>
      <c r="B18" s="746">
        <v>0</v>
      </c>
      <c r="C18" s="278">
        <v>0</v>
      </c>
      <c r="D18" s="278">
        <v>0</v>
      </c>
      <c r="E18" s="278">
        <v>0</v>
      </c>
      <c r="F18" s="278">
        <v>0</v>
      </c>
      <c r="G18" s="278">
        <v>0</v>
      </c>
      <c r="H18" s="278">
        <v>0</v>
      </c>
      <c r="I18" s="278">
        <v>0</v>
      </c>
      <c r="J18" s="278">
        <v>0</v>
      </c>
      <c r="K18" s="278">
        <v>0</v>
      </c>
      <c r="L18" s="278">
        <v>0</v>
      </c>
      <c r="M18" s="464">
        <f>SUM(Table_Default__XLS_TAB_40_394[[#This Row],[AGE_LEVEL_LESS_20]:[AGE_LEVEL_NOT_STATED]])</f>
        <v>0</v>
      </c>
      <c r="N18" s="9">
        <f t="shared" si="0"/>
        <v>0</v>
      </c>
      <c r="O18" s="893" t="s">
        <v>120</v>
      </c>
    </row>
    <row r="19" spans="1:15" ht="18" customHeight="1" thickBot="1">
      <c r="A19" s="890" t="s">
        <v>119</v>
      </c>
      <c r="B19" s="747">
        <v>0</v>
      </c>
      <c r="C19" s="279">
        <v>0</v>
      </c>
      <c r="D19" s="279">
        <v>0</v>
      </c>
      <c r="E19" s="279">
        <v>0</v>
      </c>
      <c r="F19" s="279">
        <v>0</v>
      </c>
      <c r="G19" s="279">
        <v>0</v>
      </c>
      <c r="H19" s="279">
        <v>0</v>
      </c>
      <c r="I19" s="279">
        <v>0</v>
      </c>
      <c r="J19" s="279">
        <v>0</v>
      </c>
      <c r="K19" s="279">
        <v>0</v>
      </c>
      <c r="L19" s="279">
        <v>0</v>
      </c>
      <c r="M19" s="465">
        <f>SUM(Table_Default__XLS_TAB_40_394[[#This Row],[AGE_LEVEL_LESS_20]:[AGE_LEVEL_NOT_STATED]])</f>
        <v>0</v>
      </c>
      <c r="N19" s="270">
        <f t="shared" si="0"/>
        <v>0</v>
      </c>
      <c r="O19" s="894" t="s">
        <v>119</v>
      </c>
    </row>
    <row r="20" spans="1:15" ht="18" customHeight="1" thickBot="1">
      <c r="A20" s="889" t="s">
        <v>118</v>
      </c>
      <c r="B20" s="746">
        <v>0</v>
      </c>
      <c r="C20" s="278">
        <v>0</v>
      </c>
      <c r="D20" s="278">
        <v>0</v>
      </c>
      <c r="E20" s="278">
        <v>0</v>
      </c>
      <c r="F20" s="278">
        <v>0</v>
      </c>
      <c r="G20" s="278">
        <v>0</v>
      </c>
      <c r="H20" s="278">
        <v>0</v>
      </c>
      <c r="I20" s="278">
        <v>0</v>
      </c>
      <c r="J20" s="278">
        <v>0</v>
      </c>
      <c r="K20" s="278">
        <v>0</v>
      </c>
      <c r="L20" s="278">
        <v>0</v>
      </c>
      <c r="M20" s="464">
        <f>SUM(Table_Default__XLS_TAB_40_394[[#This Row],[AGE_LEVEL_LESS_20]:[AGE_LEVEL_NOT_STATED]])</f>
        <v>0</v>
      </c>
      <c r="N20" s="9">
        <f t="shared" si="0"/>
        <v>0</v>
      </c>
      <c r="O20" s="893" t="s">
        <v>118</v>
      </c>
    </row>
    <row r="21" spans="1:15" ht="18" customHeight="1" thickBot="1">
      <c r="A21" s="890" t="s">
        <v>117</v>
      </c>
      <c r="B21" s="747">
        <v>0</v>
      </c>
      <c r="C21" s="279">
        <v>0</v>
      </c>
      <c r="D21" s="279">
        <v>0</v>
      </c>
      <c r="E21" s="279">
        <v>0</v>
      </c>
      <c r="F21" s="279">
        <v>0</v>
      </c>
      <c r="G21" s="279">
        <v>0</v>
      </c>
      <c r="H21" s="279">
        <v>0</v>
      </c>
      <c r="I21" s="279">
        <v>0</v>
      </c>
      <c r="J21" s="279">
        <v>0</v>
      </c>
      <c r="K21" s="279">
        <v>0</v>
      </c>
      <c r="L21" s="279">
        <v>0</v>
      </c>
      <c r="M21" s="465">
        <f>SUM(Table_Default__XLS_TAB_40_394[[#This Row],[AGE_LEVEL_LESS_20]:[AGE_LEVEL_NOT_STATED]])</f>
        <v>0</v>
      </c>
      <c r="N21" s="270">
        <f t="shared" si="0"/>
        <v>0</v>
      </c>
      <c r="O21" s="894" t="s">
        <v>117</v>
      </c>
    </row>
    <row r="22" spans="1:15" ht="18" customHeight="1">
      <c r="A22" s="891" t="s">
        <v>15</v>
      </c>
      <c r="B22" s="748">
        <v>0</v>
      </c>
      <c r="C22" s="280">
        <v>0</v>
      </c>
      <c r="D22" s="280">
        <v>0</v>
      </c>
      <c r="E22" s="280">
        <v>0</v>
      </c>
      <c r="F22" s="280">
        <v>0</v>
      </c>
      <c r="G22" s="280">
        <v>3</v>
      </c>
      <c r="H22" s="280">
        <v>0</v>
      </c>
      <c r="I22" s="280">
        <v>0</v>
      </c>
      <c r="J22" s="280">
        <v>0</v>
      </c>
      <c r="K22" s="280">
        <v>0</v>
      </c>
      <c r="L22" s="280">
        <v>0</v>
      </c>
      <c r="M22" s="466">
        <f>SUM(Table_Default__XLS_TAB_40_394[[#This Row],[AGE_LEVEL_LESS_20]:[AGE_LEVEL_NOT_STATED]])</f>
        <v>3</v>
      </c>
      <c r="N22" s="60">
        <f t="shared" si="0"/>
        <v>4.3478260869565224</v>
      </c>
      <c r="O22" s="895" t="s">
        <v>16</v>
      </c>
    </row>
    <row r="23" spans="1:15" ht="18" customHeight="1" thickBot="1">
      <c r="A23" s="267" t="s">
        <v>17</v>
      </c>
      <c r="B23" s="276">
        <f t="shared" ref="B23:M23" si="1">SUM(B9:B22)</f>
        <v>0</v>
      </c>
      <c r="C23" s="276">
        <f t="shared" si="1"/>
        <v>0</v>
      </c>
      <c r="D23" s="276">
        <f t="shared" si="1"/>
        <v>2</v>
      </c>
      <c r="E23" s="276">
        <f t="shared" si="1"/>
        <v>12</v>
      </c>
      <c r="F23" s="276">
        <f t="shared" si="1"/>
        <v>7</v>
      </c>
      <c r="G23" s="276">
        <f t="shared" si="1"/>
        <v>6</v>
      </c>
      <c r="H23" s="276">
        <f t="shared" si="1"/>
        <v>27</v>
      </c>
      <c r="I23" s="276">
        <f t="shared" si="1"/>
        <v>8</v>
      </c>
      <c r="J23" s="276">
        <f t="shared" si="1"/>
        <v>7</v>
      </c>
      <c r="K23" s="276">
        <f t="shared" si="1"/>
        <v>0</v>
      </c>
      <c r="L23" s="276">
        <f t="shared" si="1"/>
        <v>0</v>
      </c>
      <c r="M23" s="276">
        <f t="shared" si="1"/>
        <v>69</v>
      </c>
      <c r="N23" s="275">
        <f t="shared" ref="N23" si="2">SUM(N9:N22)</f>
        <v>100.00000000000001</v>
      </c>
      <c r="O23" s="269" t="s">
        <v>56</v>
      </c>
    </row>
    <row r="24" spans="1:15" ht="18" customHeight="1">
      <c r="A24" s="486" t="s">
        <v>380</v>
      </c>
      <c r="B24" s="495">
        <f t="shared" ref="B24:L24" si="3">B23/$M$23%</f>
        <v>0</v>
      </c>
      <c r="C24" s="495">
        <f t="shared" si="3"/>
        <v>0</v>
      </c>
      <c r="D24" s="495">
        <f t="shared" si="3"/>
        <v>2.8985507246376816</v>
      </c>
      <c r="E24" s="495">
        <f t="shared" si="3"/>
        <v>17.39130434782609</v>
      </c>
      <c r="F24" s="495">
        <f t="shared" si="3"/>
        <v>10.144927536231885</v>
      </c>
      <c r="G24" s="495">
        <f>G23/$M$23%</f>
        <v>8.6956521739130448</v>
      </c>
      <c r="H24" s="495">
        <f t="shared" si="3"/>
        <v>39.130434782608695</v>
      </c>
      <c r="I24" s="495">
        <f t="shared" si="3"/>
        <v>11.594202898550726</v>
      </c>
      <c r="J24" s="495">
        <f t="shared" si="3"/>
        <v>10.144927536231885</v>
      </c>
      <c r="K24" s="495">
        <f t="shared" si="3"/>
        <v>0</v>
      </c>
      <c r="L24" s="495">
        <f t="shared" si="3"/>
        <v>0</v>
      </c>
      <c r="M24" s="495">
        <f>SUM(B24:L24)</f>
        <v>100.00000000000001</v>
      </c>
      <c r="N24" s="1198" t="s">
        <v>20</v>
      </c>
      <c r="O24" s="1199"/>
    </row>
    <row r="25" spans="1:15" ht="15">
      <c r="A25" s="899" t="s">
        <v>580</v>
      </c>
      <c r="O25" s="5" t="s">
        <v>701</v>
      </c>
    </row>
    <row r="31" spans="1:15" ht="192" thickBot="1">
      <c r="B31" s="13" t="s">
        <v>575</v>
      </c>
      <c r="C31" s="13" t="s">
        <v>574</v>
      </c>
      <c r="D31" s="13"/>
    </row>
    <row r="32" spans="1:15" ht="15.75" thickBot="1">
      <c r="A32" s="86">
        <v>-20</v>
      </c>
      <c r="B32" s="1">
        <f>B23</f>
        <v>0</v>
      </c>
      <c r="C32" s="1">
        <f>M9</f>
        <v>0</v>
      </c>
    </row>
    <row r="33" spans="1:3" ht="15.75" thickBot="1">
      <c r="A33" s="86" t="s">
        <v>6</v>
      </c>
      <c r="B33" s="1">
        <f>C23</f>
        <v>0</v>
      </c>
      <c r="C33" s="1">
        <f t="shared" ref="C33:C40" si="4">M10</f>
        <v>1</v>
      </c>
    </row>
    <row r="34" spans="1:3" ht="15.75" thickBot="1">
      <c r="A34" s="86" t="s">
        <v>7</v>
      </c>
      <c r="B34" s="1">
        <f>D23</f>
        <v>2</v>
      </c>
      <c r="C34" s="1">
        <f t="shared" si="4"/>
        <v>2</v>
      </c>
    </row>
    <row r="35" spans="1:3" ht="15.75" thickBot="1">
      <c r="A35" s="86" t="s">
        <v>8</v>
      </c>
      <c r="B35" s="1">
        <f>E23</f>
        <v>12</v>
      </c>
      <c r="C35" s="1">
        <f t="shared" si="4"/>
        <v>4</v>
      </c>
    </row>
    <row r="36" spans="1:3" ht="15.75" thickBot="1">
      <c r="A36" s="86" t="s">
        <v>9</v>
      </c>
      <c r="B36" s="1">
        <f>F23</f>
        <v>7</v>
      </c>
      <c r="C36" s="1">
        <f t="shared" si="4"/>
        <v>5</v>
      </c>
    </row>
    <row r="37" spans="1:3" ht="15.75" thickBot="1">
      <c r="A37" s="86" t="s">
        <v>10</v>
      </c>
      <c r="B37" s="1">
        <f>G23</f>
        <v>6</v>
      </c>
      <c r="C37" s="1">
        <f t="shared" si="4"/>
        <v>10</v>
      </c>
    </row>
    <row r="38" spans="1:3" ht="15.75" thickBot="1">
      <c r="A38" s="86" t="s">
        <v>11</v>
      </c>
      <c r="B38" s="1">
        <f>H23</f>
        <v>27</v>
      </c>
      <c r="C38" s="1">
        <f t="shared" si="4"/>
        <v>12</v>
      </c>
    </row>
    <row r="39" spans="1:3" ht="15.75" thickBot="1">
      <c r="A39" s="86" t="s">
        <v>12</v>
      </c>
      <c r="B39" s="1">
        <f>I23</f>
        <v>8</v>
      </c>
      <c r="C39" s="1">
        <f t="shared" si="4"/>
        <v>19</v>
      </c>
    </row>
    <row r="40" spans="1:3" ht="15.75" thickBot="1">
      <c r="A40" s="86" t="s">
        <v>13</v>
      </c>
      <c r="B40" s="1">
        <f>J23</f>
        <v>7</v>
      </c>
      <c r="C40" s="1">
        <f t="shared" si="4"/>
        <v>13</v>
      </c>
    </row>
    <row r="41" spans="1:3" ht="15.75" thickBot="1">
      <c r="A41" s="86" t="s">
        <v>14</v>
      </c>
      <c r="B41" s="1">
        <f>K23</f>
        <v>0</v>
      </c>
      <c r="C41" s="1">
        <f>SUM(M18:M21)</f>
        <v>0</v>
      </c>
    </row>
    <row r="42" spans="1:3" ht="30.75" thickBot="1">
      <c r="A42" s="86" t="s">
        <v>450</v>
      </c>
      <c r="B42" s="274">
        <f>L23</f>
        <v>0</v>
      </c>
      <c r="C42" s="1">
        <f>M22</f>
        <v>3</v>
      </c>
    </row>
    <row r="43" spans="1:3">
      <c r="B43" s="1">
        <f>SUM(B32:B42)</f>
        <v>69</v>
      </c>
      <c r="C43" s="1">
        <f>SUM(C32:C42)</f>
        <v>69</v>
      </c>
    </row>
  </sheetData>
  <mergeCells count="9">
    <mergeCell ref="A1:O1"/>
    <mergeCell ref="A2:O2"/>
    <mergeCell ref="A3:O3"/>
    <mergeCell ref="A4:O4"/>
    <mergeCell ref="N24:O24"/>
    <mergeCell ref="A7:A8"/>
    <mergeCell ref="B7:M7"/>
    <mergeCell ref="O7:O8"/>
    <mergeCell ref="N7:N8"/>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37:N37"/>
  <sheetViews>
    <sheetView rightToLeft="1" view="pageBreakPreview" topLeftCell="A4" zoomScaleNormal="100" zoomScaleSheetLayoutView="100" workbookViewId="0">
      <selection activeCell="M18" sqref="M18"/>
    </sheetView>
  </sheetViews>
  <sheetFormatPr defaultColWidth="9.140625" defaultRowHeight="12.75"/>
  <cols>
    <col min="1" max="16384" width="9.140625" style="1"/>
  </cols>
  <sheetData>
    <row r="37" spans="1:14" ht="15.75">
      <c r="A37" s="1038" t="s">
        <v>537</v>
      </c>
      <c r="B37" s="1038"/>
      <c r="C37" s="1038"/>
      <c r="D37" s="1038"/>
      <c r="E37" s="1038"/>
      <c r="F37" s="1038"/>
      <c r="G37" s="1038"/>
      <c r="H37" s="1038"/>
      <c r="I37" s="1038"/>
      <c r="J37" s="1038"/>
      <c r="K37" s="1038"/>
      <c r="L37" s="1038"/>
      <c r="M37" s="1038"/>
      <c r="N37" s="1038"/>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L23"/>
  <sheetViews>
    <sheetView rightToLeft="1" view="pageBreakPreview" topLeftCell="A4" zoomScaleNormal="75" workbookViewId="0">
      <selection activeCell="L24" sqref="L24"/>
    </sheetView>
  </sheetViews>
  <sheetFormatPr defaultColWidth="9.140625" defaultRowHeight="12.75"/>
  <cols>
    <col min="1" max="1" width="19.85546875" style="1" customWidth="1"/>
    <col min="2" max="10" width="8.5703125" style="1" customWidth="1"/>
    <col min="11" max="11" width="11.85546875" style="1" customWidth="1"/>
    <col min="12" max="12" width="24.5703125" style="1" customWidth="1"/>
    <col min="13" max="16384" width="9.140625" style="1"/>
  </cols>
  <sheetData>
    <row r="1" spans="1:12" s="2" customFormat="1" ht="24" customHeight="1">
      <c r="A1" s="1009" t="s">
        <v>0</v>
      </c>
      <c r="B1" s="1009"/>
      <c r="C1" s="1110"/>
      <c r="D1" s="1009"/>
      <c r="E1" s="1009"/>
      <c r="F1" s="1009"/>
      <c r="G1" s="1009"/>
      <c r="H1" s="1009"/>
      <c r="I1" s="1009"/>
      <c r="J1" s="1009"/>
      <c r="K1" s="1009"/>
      <c r="L1" s="1009"/>
    </row>
    <row r="2" spans="1:12" s="3" customFormat="1" ht="18" customHeight="1">
      <c r="A2" s="1036" t="s">
        <v>535</v>
      </c>
      <c r="B2" s="1036"/>
      <c r="C2" s="1036"/>
      <c r="D2" s="1036"/>
      <c r="E2" s="1036"/>
      <c r="F2" s="1036"/>
      <c r="G2" s="1036"/>
      <c r="H2" s="1036"/>
      <c r="I2" s="1036"/>
      <c r="J2" s="1036"/>
      <c r="K2" s="1036"/>
      <c r="L2" s="1036"/>
    </row>
    <row r="3" spans="1:12" s="2" customFormat="1" ht="15.75">
      <c r="A3" s="1037">
        <v>2019</v>
      </c>
      <c r="B3" s="1037"/>
      <c r="C3" s="1037"/>
      <c r="D3" s="1037"/>
      <c r="E3" s="1037"/>
      <c r="F3" s="1037"/>
      <c r="G3" s="1037"/>
      <c r="H3" s="1037"/>
      <c r="I3" s="1037"/>
      <c r="J3" s="1037"/>
      <c r="K3" s="1037"/>
      <c r="L3" s="1037"/>
    </row>
    <row r="4" spans="1:12" s="2" customFormat="1" ht="15.75">
      <c r="A4" s="1037" t="s">
        <v>172</v>
      </c>
      <c r="B4" s="1037"/>
      <c r="C4" s="1037"/>
      <c r="D4" s="1037"/>
      <c r="E4" s="1037"/>
      <c r="F4" s="1037"/>
      <c r="G4" s="1037"/>
      <c r="H4" s="1037"/>
      <c r="I4" s="1037"/>
      <c r="J4" s="1037"/>
      <c r="K4" s="1037"/>
      <c r="L4" s="1037"/>
    </row>
    <row r="5" spans="1:12" s="2" customFormat="1" ht="15.75">
      <c r="A5" s="361"/>
      <c r="B5" s="361"/>
      <c r="C5" s="361"/>
      <c r="D5" s="361"/>
      <c r="E5" s="361"/>
      <c r="F5" s="361"/>
      <c r="G5" s="361"/>
      <c r="H5" s="361"/>
      <c r="I5" s="361"/>
      <c r="J5" s="361"/>
      <c r="K5" s="361"/>
      <c r="L5" s="361"/>
    </row>
    <row r="6" spans="1:12" ht="15.75">
      <c r="A6" s="373" t="s">
        <v>484</v>
      </c>
      <c r="B6" s="377"/>
      <c r="C6" s="377"/>
      <c r="D6" s="377"/>
      <c r="E6" s="377"/>
      <c r="F6" s="377"/>
      <c r="G6" s="377"/>
      <c r="H6" s="377"/>
      <c r="I6" s="377"/>
      <c r="J6" s="377"/>
      <c r="K6" s="377"/>
      <c r="L6" s="375" t="s">
        <v>485</v>
      </c>
    </row>
    <row r="7" spans="1:12" ht="30.75" customHeight="1" thickBot="1">
      <c r="A7" s="1099" t="s">
        <v>663</v>
      </c>
      <c r="B7" s="1204" t="s">
        <v>590</v>
      </c>
      <c r="C7" s="1205"/>
      <c r="D7" s="1205"/>
      <c r="E7" s="1205"/>
      <c r="F7" s="1205"/>
      <c r="G7" s="1205"/>
      <c r="H7" s="1205"/>
      <c r="I7" s="1205"/>
      <c r="J7" s="1206"/>
      <c r="K7" s="1114" t="s">
        <v>662</v>
      </c>
      <c r="L7" s="1106" t="s">
        <v>4</v>
      </c>
    </row>
    <row r="8" spans="1:12" ht="39" customHeight="1">
      <c r="A8" s="1108"/>
      <c r="B8" s="319">
        <v>0</v>
      </c>
      <c r="C8" s="319">
        <v>1</v>
      </c>
      <c r="D8" s="319">
        <v>2</v>
      </c>
      <c r="E8" s="319">
        <v>3</v>
      </c>
      <c r="F8" s="319">
        <v>4</v>
      </c>
      <c r="G8" s="319">
        <v>5</v>
      </c>
      <c r="H8" s="319" t="s">
        <v>558</v>
      </c>
      <c r="I8" s="328" t="s">
        <v>655</v>
      </c>
      <c r="J8" s="325" t="s">
        <v>605</v>
      </c>
      <c r="K8" s="1115"/>
      <c r="L8" s="1109"/>
    </row>
    <row r="9" spans="1:12" ht="17.25" customHeight="1" thickBot="1">
      <c r="A9" s="777">
        <v>-20</v>
      </c>
      <c r="B9" s="265">
        <v>4</v>
      </c>
      <c r="C9" s="81">
        <v>0</v>
      </c>
      <c r="D9" s="81">
        <v>0</v>
      </c>
      <c r="E9" s="81">
        <v>0</v>
      </c>
      <c r="F9" s="81">
        <v>0</v>
      </c>
      <c r="G9" s="81">
        <v>0</v>
      </c>
      <c r="H9" s="81">
        <v>0</v>
      </c>
      <c r="I9" s="81">
        <v>0</v>
      </c>
      <c r="J9" s="123">
        <f>SUM(Table_Default__XLS_TAB_41_134[[#This Row],[SON_CNT_0]:[SON_CNT_NOT_STATED]])</f>
        <v>4</v>
      </c>
      <c r="K9" s="8">
        <f t="shared" ref="K9:K19" si="0">J9/$J$20%</f>
        <v>0.40322580645161293</v>
      </c>
      <c r="L9" s="103">
        <v>-20</v>
      </c>
    </row>
    <row r="10" spans="1:12" ht="17.25" customHeight="1" thickBot="1">
      <c r="A10" s="744" t="s">
        <v>128</v>
      </c>
      <c r="B10" s="265">
        <v>108</v>
      </c>
      <c r="C10" s="81">
        <v>0</v>
      </c>
      <c r="D10" s="81">
        <v>0</v>
      </c>
      <c r="E10" s="81">
        <v>0</v>
      </c>
      <c r="F10" s="81">
        <v>0</v>
      </c>
      <c r="G10" s="81">
        <v>0</v>
      </c>
      <c r="H10" s="81">
        <v>0</v>
      </c>
      <c r="I10" s="81">
        <v>1</v>
      </c>
      <c r="J10" s="123">
        <f>SUM(Table_Default__XLS_TAB_41_134[[#This Row],[SON_CNT_0]:[SON_CNT_NOT_STATED]])</f>
        <v>109</v>
      </c>
      <c r="K10" s="9">
        <f t="shared" si="0"/>
        <v>10.987903225806452</v>
      </c>
      <c r="L10" s="780" t="s">
        <v>128</v>
      </c>
    </row>
    <row r="11" spans="1:12" ht="17.25" customHeight="1" thickBot="1">
      <c r="A11" s="778" t="s">
        <v>127</v>
      </c>
      <c r="B11" s="265">
        <v>234</v>
      </c>
      <c r="C11" s="81">
        <v>0</v>
      </c>
      <c r="D11" s="81">
        <v>1</v>
      </c>
      <c r="E11" s="81">
        <v>0</v>
      </c>
      <c r="F11" s="81">
        <v>0</v>
      </c>
      <c r="G11" s="81">
        <v>0</v>
      </c>
      <c r="H11" s="81">
        <v>0</v>
      </c>
      <c r="I11" s="81">
        <v>0</v>
      </c>
      <c r="J11" s="123">
        <f>SUM(Table_Default__XLS_TAB_41_134[[#This Row],[SON_CNT_0]:[SON_CNT_NOT_STATED]])</f>
        <v>235</v>
      </c>
      <c r="K11" s="10">
        <f t="shared" si="0"/>
        <v>23.68951612903226</v>
      </c>
      <c r="L11" s="781" t="s">
        <v>127</v>
      </c>
    </row>
    <row r="12" spans="1:12" ht="17.25" customHeight="1" thickBot="1">
      <c r="A12" s="744" t="s">
        <v>126</v>
      </c>
      <c r="B12" s="265">
        <v>203</v>
      </c>
      <c r="C12" s="81">
        <v>2</v>
      </c>
      <c r="D12" s="81">
        <v>0</v>
      </c>
      <c r="E12" s="81">
        <v>1</v>
      </c>
      <c r="F12" s="81">
        <v>0</v>
      </c>
      <c r="G12" s="81">
        <v>0</v>
      </c>
      <c r="H12" s="81">
        <v>0</v>
      </c>
      <c r="I12" s="81">
        <v>0</v>
      </c>
      <c r="J12" s="123">
        <f>SUM(Table_Default__XLS_TAB_41_134[[#This Row],[SON_CNT_0]:[SON_CNT_NOT_STATED]])</f>
        <v>206</v>
      </c>
      <c r="K12" s="9">
        <f t="shared" si="0"/>
        <v>20.766129032258064</v>
      </c>
      <c r="L12" s="780" t="s">
        <v>126</v>
      </c>
    </row>
    <row r="13" spans="1:12" ht="17.25" customHeight="1" thickBot="1">
      <c r="A13" s="778" t="s">
        <v>125</v>
      </c>
      <c r="B13" s="265">
        <v>133</v>
      </c>
      <c r="C13" s="81">
        <v>0</v>
      </c>
      <c r="D13" s="81">
        <v>0</v>
      </c>
      <c r="E13" s="81">
        <v>1</v>
      </c>
      <c r="F13" s="81">
        <v>0</v>
      </c>
      <c r="G13" s="81">
        <v>0</v>
      </c>
      <c r="H13" s="81">
        <v>0</v>
      </c>
      <c r="I13" s="81">
        <v>1</v>
      </c>
      <c r="J13" s="123">
        <f>SUM(Table_Default__XLS_TAB_41_134[[#This Row],[SON_CNT_0]:[SON_CNT_NOT_STATED]])</f>
        <v>135</v>
      </c>
      <c r="K13" s="10">
        <f t="shared" si="0"/>
        <v>13.608870967741936</v>
      </c>
      <c r="L13" s="781" t="s">
        <v>125</v>
      </c>
    </row>
    <row r="14" spans="1:12" ht="17.25" customHeight="1" thickBot="1">
      <c r="A14" s="744" t="s">
        <v>124</v>
      </c>
      <c r="B14" s="265">
        <v>107</v>
      </c>
      <c r="C14" s="81">
        <v>0</v>
      </c>
      <c r="D14" s="81">
        <v>0</v>
      </c>
      <c r="E14" s="81">
        <v>0</v>
      </c>
      <c r="F14" s="81">
        <v>0</v>
      </c>
      <c r="G14" s="81">
        <v>0</v>
      </c>
      <c r="H14" s="81">
        <v>0</v>
      </c>
      <c r="I14" s="81">
        <v>0</v>
      </c>
      <c r="J14" s="123">
        <f>SUM(Table_Default__XLS_TAB_41_134[[#This Row],[SON_CNT_0]:[SON_CNT_NOT_STATED]])</f>
        <v>107</v>
      </c>
      <c r="K14" s="9">
        <f t="shared" si="0"/>
        <v>10.786290322580646</v>
      </c>
      <c r="L14" s="780" t="s">
        <v>124</v>
      </c>
    </row>
    <row r="15" spans="1:12" ht="17.25" customHeight="1" thickBot="1">
      <c r="A15" s="778" t="s">
        <v>123</v>
      </c>
      <c r="B15" s="265">
        <v>85</v>
      </c>
      <c r="C15" s="81">
        <v>0</v>
      </c>
      <c r="D15" s="81">
        <v>0</v>
      </c>
      <c r="E15" s="81">
        <v>0</v>
      </c>
      <c r="F15" s="81">
        <v>0</v>
      </c>
      <c r="G15" s="81">
        <v>0</v>
      </c>
      <c r="H15" s="81">
        <v>3</v>
      </c>
      <c r="I15" s="81">
        <v>0</v>
      </c>
      <c r="J15" s="123">
        <f>SUM(Table_Default__XLS_TAB_41_134[[#This Row],[SON_CNT_0]:[SON_CNT_NOT_STATED]])</f>
        <v>88</v>
      </c>
      <c r="K15" s="10">
        <f t="shared" si="0"/>
        <v>8.870967741935484</v>
      </c>
      <c r="L15" s="781" t="s">
        <v>123</v>
      </c>
    </row>
    <row r="16" spans="1:12" ht="17.25" customHeight="1" thickBot="1">
      <c r="A16" s="744" t="s">
        <v>122</v>
      </c>
      <c r="B16" s="265">
        <v>59</v>
      </c>
      <c r="C16" s="81">
        <v>0</v>
      </c>
      <c r="D16" s="81">
        <v>0</v>
      </c>
      <c r="E16" s="81">
        <v>0</v>
      </c>
      <c r="F16" s="81">
        <v>0</v>
      </c>
      <c r="G16" s="81">
        <v>1</v>
      </c>
      <c r="H16" s="81">
        <v>0</v>
      </c>
      <c r="I16" s="81">
        <v>0</v>
      </c>
      <c r="J16" s="123">
        <f>SUM(Table_Default__XLS_TAB_41_134[[#This Row],[SON_CNT_0]:[SON_CNT_NOT_STATED]])</f>
        <v>60</v>
      </c>
      <c r="K16" s="9">
        <f t="shared" si="0"/>
        <v>6.0483870967741939</v>
      </c>
      <c r="L16" s="780" t="s">
        <v>122</v>
      </c>
    </row>
    <row r="17" spans="1:12" ht="17.25" customHeight="1" thickBot="1">
      <c r="A17" s="778" t="s">
        <v>121</v>
      </c>
      <c r="B17" s="265">
        <v>31</v>
      </c>
      <c r="C17" s="81">
        <v>0</v>
      </c>
      <c r="D17" s="81">
        <v>0</v>
      </c>
      <c r="E17" s="81">
        <v>0</v>
      </c>
      <c r="F17" s="81">
        <v>0</v>
      </c>
      <c r="G17" s="81">
        <v>0</v>
      </c>
      <c r="H17" s="81">
        <v>1</v>
      </c>
      <c r="I17" s="81">
        <v>0</v>
      </c>
      <c r="J17" s="123">
        <f>SUM(Table_Default__XLS_TAB_41_134[[#This Row],[SON_CNT_0]:[SON_CNT_NOT_STATED]])</f>
        <v>32</v>
      </c>
      <c r="K17" s="10">
        <f t="shared" si="0"/>
        <v>3.2258064516129035</v>
      </c>
      <c r="L17" s="781" t="s">
        <v>121</v>
      </c>
    </row>
    <row r="18" spans="1:12" ht="17.25" customHeight="1" thickBot="1">
      <c r="A18" s="744" t="s">
        <v>133</v>
      </c>
      <c r="B18" s="265">
        <v>16</v>
      </c>
      <c r="C18" s="81">
        <v>0</v>
      </c>
      <c r="D18" s="81">
        <v>0</v>
      </c>
      <c r="E18" s="81">
        <v>0</v>
      </c>
      <c r="F18" s="81">
        <v>0</v>
      </c>
      <c r="G18" s="81">
        <v>0</v>
      </c>
      <c r="H18" s="81">
        <v>0</v>
      </c>
      <c r="I18" s="81">
        <v>0</v>
      </c>
      <c r="J18" s="123">
        <f>SUM(Table_Default__XLS_TAB_41_134[[#This Row],[SON_CNT_0]:[SON_CNT_NOT_STATED]])</f>
        <v>16</v>
      </c>
      <c r="K18" s="9">
        <f t="shared" si="0"/>
        <v>1.6129032258064517</v>
      </c>
      <c r="L18" s="780" t="s">
        <v>133</v>
      </c>
    </row>
    <row r="19" spans="1:12" ht="17.25" customHeight="1" thickBot="1">
      <c r="A19" s="779" t="s">
        <v>15</v>
      </c>
      <c r="B19" s="281">
        <v>0</v>
      </c>
      <c r="C19" s="282">
        <v>0</v>
      </c>
      <c r="D19" s="282">
        <v>0</v>
      </c>
      <c r="E19" s="282">
        <v>0</v>
      </c>
      <c r="F19" s="282">
        <v>0</v>
      </c>
      <c r="G19" s="282">
        <v>0</v>
      </c>
      <c r="H19" s="282">
        <v>0</v>
      </c>
      <c r="I19" s="282">
        <v>0</v>
      </c>
      <c r="J19" s="123">
        <f>SUM(Table_Default__XLS_TAB_41_134[[#This Row],[SON_CNT_0]:[SON_CNT_NOT_STATED]])</f>
        <v>0</v>
      </c>
      <c r="K19" s="11">
        <f t="shared" si="0"/>
        <v>0</v>
      </c>
      <c r="L19" s="782" t="s">
        <v>16</v>
      </c>
    </row>
    <row r="20" spans="1:12" ht="20.100000000000001" customHeight="1" thickBot="1">
      <c r="A20" s="283" t="s">
        <v>17</v>
      </c>
      <c r="B20" s="284">
        <f>SUM(B9:B19)</f>
        <v>980</v>
      </c>
      <c r="C20" s="284">
        <f>SUM(C9:C19)</f>
        <v>2</v>
      </c>
      <c r="D20" s="284">
        <f t="shared" ref="D20:H20" si="1">SUM(D9:D19)</f>
        <v>1</v>
      </c>
      <c r="E20" s="284">
        <f t="shared" si="1"/>
        <v>2</v>
      </c>
      <c r="F20" s="284">
        <f t="shared" si="1"/>
        <v>0</v>
      </c>
      <c r="G20" s="284">
        <f t="shared" si="1"/>
        <v>1</v>
      </c>
      <c r="H20" s="284">
        <f t="shared" si="1"/>
        <v>4</v>
      </c>
      <c r="I20" s="284">
        <f>SUM(I9:I19)</f>
        <v>2</v>
      </c>
      <c r="J20" s="284">
        <f>SUM(J9:J19)</f>
        <v>992</v>
      </c>
      <c r="K20" s="776">
        <f t="shared" ref="K20" si="2">SUM(K9:K19)</f>
        <v>99.999999999999986</v>
      </c>
      <c r="L20" s="286" t="s">
        <v>18</v>
      </c>
    </row>
    <row r="21" spans="1:12" ht="20.100000000000001" customHeight="1">
      <c r="A21" s="124" t="s">
        <v>146</v>
      </c>
      <c r="B21" s="172">
        <f>B20/$J$20%</f>
        <v>98.790322580645167</v>
      </c>
      <c r="C21" s="172">
        <f t="shared" ref="C21:I21" si="3">C20/$J$20%</f>
        <v>0.20161290322580647</v>
      </c>
      <c r="D21" s="172">
        <f t="shared" si="3"/>
        <v>0.10080645161290323</v>
      </c>
      <c r="E21" s="172">
        <f t="shared" si="3"/>
        <v>0.20161290322580647</v>
      </c>
      <c r="F21" s="172">
        <f t="shared" si="3"/>
        <v>0</v>
      </c>
      <c r="G21" s="172">
        <f t="shared" si="3"/>
        <v>0.10080645161290323</v>
      </c>
      <c r="H21" s="172">
        <f t="shared" si="3"/>
        <v>0.40322580645161293</v>
      </c>
      <c r="I21" s="172">
        <f t="shared" si="3"/>
        <v>0.20161290322580647</v>
      </c>
      <c r="J21" s="172">
        <f>SUM(B21:I21)</f>
        <v>100</v>
      </c>
      <c r="K21" s="1202" t="s">
        <v>20</v>
      </c>
      <c r="L21" s="1203"/>
    </row>
    <row r="22" spans="1:12" ht="14.25">
      <c r="A22" s="775" t="s">
        <v>584</v>
      </c>
      <c r="L22" s="5" t="s">
        <v>585</v>
      </c>
    </row>
    <row r="23" spans="1:12">
      <c r="A23" s="31"/>
    </row>
  </sheetData>
  <mergeCells count="9">
    <mergeCell ref="K21:L21"/>
    <mergeCell ref="K7:K8"/>
    <mergeCell ref="A1:L1"/>
    <mergeCell ref="A2:L2"/>
    <mergeCell ref="A3:L3"/>
    <mergeCell ref="A7:A8"/>
    <mergeCell ref="B7:J7"/>
    <mergeCell ref="L7:L8"/>
    <mergeCell ref="A4:L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L22"/>
  <sheetViews>
    <sheetView rightToLeft="1" view="pageBreakPreview" topLeftCell="A4" zoomScaleNormal="75" workbookViewId="0">
      <selection activeCell="M26" sqref="M26"/>
    </sheetView>
  </sheetViews>
  <sheetFormatPr defaultColWidth="9.140625" defaultRowHeight="12.75"/>
  <cols>
    <col min="1" max="1" width="19.85546875" style="1" customWidth="1"/>
    <col min="2" max="10" width="8.5703125" style="1" customWidth="1"/>
    <col min="11" max="11" width="11.85546875" style="1" customWidth="1"/>
    <col min="12" max="12" width="24.5703125" style="1" customWidth="1"/>
    <col min="13" max="16384" width="9.140625" style="1"/>
  </cols>
  <sheetData>
    <row r="1" spans="1:12" s="2" customFormat="1" ht="24" customHeight="1">
      <c r="A1" s="1009" t="s">
        <v>0</v>
      </c>
      <c r="B1" s="1009"/>
      <c r="C1" s="1110"/>
      <c r="D1" s="1009"/>
      <c r="E1" s="1009"/>
      <c r="F1" s="1009"/>
      <c r="G1" s="1009"/>
      <c r="H1" s="1009"/>
      <c r="I1" s="1009"/>
      <c r="J1" s="1009"/>
      <c r="K1" s="1009"/>
      <c r="L1" s="1009"/>
    </row>
    <row r="2" spans="1:12" s="3" customFormat="1" ht="18" customHeight="1">
      <c r="A2" s="1036" t="s">
        <v>535</v>
      </c>
      <c r="B2" s="1036"/>
      <c r="C2" s="1036"/>
      <c r="D2" s="1036"/>
      <c r="E2" s="1036"/>
      <c r="F2" s="1036"/>
      <c r="G2" s="1036"/>
      <c r="H2" s="1036"/>
      <c r="I2" s="1036"/>
      <c r="J2" s="1036"/>
      <c r="K2" s="1036"/>
      <c r="L2" s="1036"/>
    </row>
    <row r="3" spans="1:12" s="2" customFormat="1" ht="15.75">
      <c r="A3" s="1037">
        <v>2019</v>
      </c>
      <c r="B3" s="1037"/>
      <c r="C3" s="1037"/>
      <c r="D3" s="1037"/>
      <c r="E3" s="1037"/>
      <c r="F3" s="1037"/>
      <c r="G3" s="1037"/>
      <c r="H3" s="1037"/>
      <c r="I3" s="1037"/>
      <c r="J3" s="1037"/>
      <c r="K3" s="1037"/>
      <c r="L3" s="1037"/>
    </row>
    <row r="4" spans="1:12" s="2" customFormat="1" ht="15.75">
      <c r="A4" s="1037" t="s">
        <v>177</v>
      </c>
      <c r="B4" s="1037"/>
      <c r="C4" s="1037"/>
      <c r="D4" s="1037"/>
      <c r="E4" s="1037"/>
      <c r="F4" s="1037"/>
      <c r="G4" s="1037"/>
      <c r="H4" s="1037"/>
      <c r="I4" s="1037"/>
      <c r="J4" s="1037"/>
      <c r="K4" s="1037"/>
      <c r="L4" s="1037"/>
    </row>
    <row r="5" spans="1:12" s="2" customFormat="1" ht="15.75">
      <c r="A5" s="361"/>
      <c r="B5" s="361"/>
      <c r="C5" s="361"/>
      <c r="D5" s="361"/>
      <c r="E5" s="361"/>
      <c r="F5" s="361"/>
      <c r="G5" s="361"/>
      <c r="H5" s="361"/>
      <c r="I5" s="361"/>
      <c r="J5" s="361"/>
      <c r="K5" s="361"/>
      <c r="L5" s="361"/>
    </row>
    <row r="6" spans="1:12" ht="15.75">
      <c r="A6" s="373" t="s">
        <v>488</v>
      </c>
      <c r="B6" s="377"/>
      <c r="C6" s="377"/>
      <c r="D6" s="377"/>
      <c r="E6" s="377"/>
      <c r="F6" s="377"/>
      <c r="G6" s="377"/>
      <c r="H6" s="377"/>
      <c r="I6" s="377"/>
      <c r="J6" s="377"/>
      <c r="K6" s="377"/>
      <c r="L6" s="375" t="s">
        <v>489</v>
      </c>
    </row>
    <row r="7" spans="1:12" ht="30.75" customHeight="1" thickBot="1">
      <c r="A7" s="1099" t="s">
        <v>663</v>
      </c>
      <c r="B7" s="1204" t="s">
        <v>590</v>
      </c>
      <c r="C7" s="1205"/>
      <c r="D7" s="1205"/>
      <c r="E7" s="1205"/>
      <c r="F7" s="1205"/>
      <c r="G7" s="1205"/>
      <c r="H7" s="1205"/>
      <c r="I7" s="1205"/>
      <c r="J7" s="1206"/>
      <c r="K7" s="1114" t="s">
        <v>662</v>
      </c>
      <c r="L7" s="1106" t="s">
        <v>4</v>
      </c>
    </row>
    <row r="8" spans="1:12" ht="39" customHeight="1">
      <c r="A8" s="1100"/>
      <c r="B8" s="319">
        <v>0</v>
      </c>
      <c r="C8" s="319">
        <v>1</v>
      </c>
      <c r="D8" s="319">
        <v>2</v>
      </c>
      <c r="E8" s="319">
        <v>3</v>
      </c>
      <c r="F8" s="319">
        <v>4</v>
      </c>
      <c r="G8" s="319">
        <v>5</v>
      </c>
      <c r="H8" s="319" t="s">
        <v>558</v>
      </c>
      <c r="I8" s="328" t="s">
        <v>655</v>
      </c>
      <c r="J8" s="325" t="s">
        <v>605</v>
      </c>
      <c r="K8" s="1128"/>
      <c r="L8" s="1107"/>
    </row>
    <row r="9" spans="1:12" ht="17.25" customHeight="1" thickBot="1">
      <c r="A9" s="857">
        <v>-20</v>
      </c>
      <c r="B9" s="783">
        <v>5</v>
      </c>
      <c r="C9" s="784">
        <v>0</v>
      </c>
      <c r="D9" s="784">
        <v>0</v>
      </c>
      <c r="E9" s="784">
        <v>0</v>
      </c>
      <c r="F9" s="784">
        <v>0</v>
      </c>
      <c r="G9" s="784">
        <v>0</v>
      </c>
      <c r="H9" s="784">
        <v>0</v>
      </c>
      <c r="I9" s="784">
        <v>0</v>
      </c>
      <c r="J9" s="785">
        <f>SUM(Table_Default__XLS_TAB_41_252[[#This Row],[SON_CNT_0]:[SON_CNT_NOT_STATED]])</f>
        <v>5</v>
      </c>
      <c r="K9" s="786">
        <f t="shared" ref="K9:K19" si="0">J9/$J$20%</f>
        <v>0.59453032104637338</v>
      </c>
      <c r="L9" s="981">
        <v>-20</v>
      </c>
    </row>
    <row r="10" spans="1:12" ht="17.25" customHeight="1" thickBot="1">
      <c r="A10" s="976" t="s">
        <v>128</v>
      </c>
      <c r="B10" s="287">
        <v>57</v>
      </c>
      <c r="C10" s="81">
        <v>0</v>
      </c>
      <c r="D10" s="81">
        <v>0</v>
      </c>
      <c r="E10" s="81">
        <v>0</v>
      </c>
      <c r="F10" s="81">
        <v>0</v>
      </c>
      <c r="G10" s="81">
        <v>0</v>
      </c>
      <c r="H10" s="81">
        <v>0</v>
      </c>
      <c r="I10" s="81">
        <v>0</v>
      </c>
      <c r="J10" s="785">
        <f>SUM(Table_Default__XLS_TAB_41_252[[#This Row],[SON_CNT_0]:[SON_CNT_NOT_STATED]])</f>
        <v>57</v>
      </c>
      <c r="K10" s="9">
        <f t="shared" si="0"/>
        <v>6.7776456599286563</v>
      </c>
      <c r="L10" s="780" t="s">
        <v>128</v>
      </c>
    </row>
    <row r="11" spans="1:12" ht="17.25" customHeight="1" thickBot="1">
      <c r="A11" s="778" t="s">
        <v>127</v>
      </c>
      <c r="B11" s="287">
        <v>129</v>
      </c>
      <c r="C11" s="81">
        <v>0</v>
      </c>
      <c r="D11" s="81">
        <v>0</v>
      </c>
      <c r="E11" s="81">
        <v>0</v>
      </c>
      <c r="F11" s="81">
        <v>0</v>
      </c>
      <c r="G11" s="81">
        <v>0</v>
      </c>
      <c r="H11" s="81">
        <v>0</v>
      </c>
      <c r="I11" s="81">
        <v>0</v>
      </c>
      <c r="J11" s="785">
        <f>SUM(Table_Default__XLS_TAB_41_252[[#This Row],[SON_CNT_0]:[SON_CNT_NOT_STATED]])</f>
        <v>129</v>
      </c>
      <c r="K11" s="10">
        <f t="shared" si="0"/>
        <v>15.338882282996433</v>
      </c>
      <c r="L11" s="781" t="s">
        <v>127</v>
      </c>
    </row>
    <row r="12" spans="1:12" ht="17.25" customHeight="1" thickBot="1">
      <c r="A12" s="976" t="s">
        <v>126</v>
      </c>
      <c r="B12" s="287">
        <v>185</v>
      </c>
      <c r="C12" s="81">
        <v>3</v>
      </c>
      <c r="D12" s="81">
        <v>2</v>
      </c>
      <c r="E12" s="81">
        <v>0</v>
      </c>
      <c r="F12" s="81">
        <v>0</v>
      </c>
      <c r="G12" s="81">
        <v>0</v>
      </c>
      <c r="H12" s="81">
        <v>0</v>
      </c>
      <c r="I12" s="81">
        <v>0</v>
      </c>
      <c r="J12" s="785">
        <f>SUM(Table_Default__XLS_TAB_41_252[[#This Row],[SON_CNT_0]:[SON_CNT_NOT_STATED]])</f>
        <v>190</v>
      </c>
      <c r="K12" s="9">
        <f t="shared" si="0"/>
        <v>22.592152199762186</v>
      </c>
      <c r="L12" s="780" t="s">
        <v>126</v>
      </c>
    </row>
    <row r="13" spans="1:12" ht="17.25" customHeight="1" thickBot="1">
      <c r="A13" s="778" t="s">
        <v>125</v>
      </c>
      <c r="B13" s="287">
        <v>164</v>
      </c>
      <c r="C13" s="81">
        <v>0</v>
      </c>
      <c r="D13" s="81">
        <v>0</v>
      </c>
      <c r="E13" s="81">
        <v>0</v>
      </c>
      <c r="F13" s="81">
        <v>1</v>
      </c>
      <c r="G13" s="81">
        <v>0</v>
      </c>
      <c r="H13" s="81">
        <v>0</v>
      </c>
      <c r="I13" s="81">
        <v>0</v>
      </c>
      <c r="J13" s="785">
        <f>SUM(Table_Default__XLS_TAB_41_252[[#This Row],[SON_CNT_0]:[SON_CNT_NOT_STATED]])</f>
        <v>165</v>
      </c>
      <c r="K13" s="10">
        <f t="shared" si="0"/>
        <v>19.619500594530322</v>
      </c>
      <c r="L13" s="781" t="s">
        <v>125</v>
      </c>
    </row>
    <row r="14" spans="1:12" ht="17.25" customHeight="1" thickBot="1">
      <c r="A14" s="976" t="s">
        <v>124</v>
      </c>
      <c r="B14" s="287">
        <v>102</v>
      </c>
      <c r="C14" s="81">
        <v>1</v>
      </c>
      <c r="D14" s="81">
        <v>1</v>
      </c>
      <c r="E14" s="81">
        <v>1</v>
      </c>
      <c r="F14" s="81">
        <v>0</v>
      </c>
      <c r="G14" s="81">
        <v>0</v>
      </c>
      <c r="H14" s="81">
        <v>0</v>
      </c>
      <c r="I14" s="81">
        <v>0</v>
      </c>
      <c r="J14" s="785">
        <f>SUM(Table_Default__XLS_TAB_41_252[[#This Row],[SON_CNT_0]:[SON_CNT_NOT_STATED]])</f>
        <v>105</v>
      </c>
      <c r="K14" s="9">
        <f t="shared" si="0"/>
        <v>12.485136741973841</v>
      </c>
      <c r="L14" s="780" t="s">
        <v>124</v>
      </c>
    </row>
    <row r="15" spans="1:12" ht="17.25" customHeight="1" thickBot="1">
      <c r="A15" s="778" t="s">
        <v>123</v>
      </c>
      <c r="B15" s="287">
        <v>75</v>
      </c>
      <c r="C15" s="81">
        <v>0</v>
      </c>
      <c r="D15" s="81">
        <v>0</v>
      </c>
      <c r="E15" s="81">
        <v>1</v>
      </c>
      <c r="F15" s="81">
        <v>1</v>
      </c>
      <c r="G15" s="81">
        <v>0</v>
      </c>
      <c r="H15" s="81">
        <v>0</v>
      </c>
      <c r="I15" s="81">
        <v>0</v>
      </c>
      <c r="J15" s="785">
        <f>SUM(Table_Default__XLS_TAB_41_252[[#This Row],[SON_CNT_0]:[SON_CNT_NOT_STATED]])</f>
        <v>77</v>
      </c>
      <c r="K15" s="10">
        <f t="shared" si="0"/>
        <v>9.1557669441141503</v>
      </c>
      <c r="L15" s="781" t="s">
        <v>123</v>
      </c>
    </row>
    <row r="16" spans="1:12" ht="17.25" customHeight="1" thickBot="1">
      <c r="A16" s="976" t="s">
        <v>122</v>
      </c>
      <c r="B16" s="287">
        <v>29</v>
      </c>
      <c r="C16" s="81">
        <v>0</v>
      </c>
      <c r="D16" s="81">
        <v>0</v>
      </c>
      <c r="E16" s="81">
        <v>1</v>
      </c>
      <c r="F16" s="81">
        <v>0</v>
      </c>
      <c r="G16" s="81">
        <v>0</v>
      </c>
      <c r="H16" s="81">
        <v>0</v>
      </c>
      <c r="I16" s="81">
        <v>0</v>
      </c>
      <c r="J16" s="785">
        <f>SUM(Table_Default__XLS_TAB_41_252[[#This Row],[SON_CNT_0]:[SON_CNT_NOT_STATED]])</f>
        <v>30</v>
      </c>
      <c r="K16" s="9">
        <f t="shared" si="0"/>
        <v>3.56718192627824</v>
      </c>
      <c r="L16" s="780" t="s">
        <v>122</v>
      </c>
    </row>
    <row r="17" spans="1:12" ht="17.25" customHeight="1" thickBot="1">
      <c r="A17" s="778" t="s">
        <v>121</v>
      </c>
      <c r="B17" s="287">
        <v>12</v>
      </c>
      <c r="C17" s="81">
        <v>0</v>
      </c>
      <c r="D17" s="81">
        <v>0</v>
      </c>
      <c r="E17" s="81">
        <v>0</v>
      </c>
      <c r="F17" s="81">
        <v>0</v>
      </c>
      <c r="G17" s="81">
        <v>0</v>
      </c>
      <c r="H17" s="81">
        <v>0</v>
      </c>
      <c r="I17" s="81">
        <v>0</v>
      </c>
      <c r="J17" s="785">
        <f>SUM(Table_Default__XLS_TAB_41_252[[#This Row],[SON_CNT_0]:[SON_CNT_NOT_STATED]])</f>
        <v>12</v>
      </c>
      <c r="K17" s="10">
        <f t="shared" si="0"/>
        <v>1.426872770511296</v>
      </c>
      <c r="L17" s="781" t="s">
        <v>121</v>
      </c>
    </row>
    <row r="18" spans="1:12" ht="17.25" customHeight="1" thickBot="1">
      <c r="A18" s="976" t="s">
        <v>133</v>
      </c>
      <c r="B18" s="287">
        <v>6</v>
      </c>
      <c r="C18" s="81">
        <v>0</v>
      </c>
      <c r="D18" s="81">
        <v>0</v>
      </c>
      <c r="E18" s="81">
        <v>0</v>
      </c>
      <c r="F18" s="81">
        <v>0</v>
      </c>
      <c r="G18" s="81">
        <v>0</v>
      </c>
      <c r="H18" s="81">
        <v>0</v>
      </c>
      <c r="I18" s="81">
        <v>0</v>
      </c>
      <c r="J18" s="785">
        <f>SUM(Table_Default__XLS_TAB_41_252[[#This Row],[SON_CNT_0]:[SON_CNT_NOT_STATED]])</f>
        <v>6</v>
      </c>
      <c r="K18" s="9">
        <f t="shared" si="0"/>
        <v>0.71343638525564801</v>
      </c>
      <c r="L18" s="780" t="s">
        <v>133</v>
      </c>
    </row>
    <row r="19" spans="1:12" ht="17.25" customHeight="1">
      <c r="A19" s="779" t="s">
        <v>15</v>
      </c>
      <c r="B19" s="290">
        <v>65</v>
      </c>
      <c r="C19" s="291">
        <v>0</v>
      </c>
      <c r="D19" s="291">
        <v>0</v>
      </c>
      <c r="E19" s="291">
        <v>0</v>
      </c>
      <c r="F19" s="291">
        <v>0</v>
      </c>
      <c r="G19" s="291">
        <v>0</v>
      </c>
      <c r="H19" s="291">
        <v>0</v>
      </c>
      <c r="I19" s="291">
        <v>0</v>
      </c>
      <c r="J19" s="458">
        <f>SUM(Table_Default__XLS_TAB_41_252[[#This Row],[SON_CNT_0]:[SON_CNT_NOT_STATED]])</f>
        <v>65</v>
      </c>
      <c r="K19" s="172">
        <f t="shared" si="0"/>
        <v>7.7288941736028534</v>
      </c>
      <c r="L19" s="782" t="s">
        <v>16</v>
      </c>
    </row>
    <row r="20" spans="1:12" ht="20.100000000000001" customHeight="1" thickBot="1">
      <c r="A20" s="980" t="s">
        <v>17</v>
      </c>
      <c r="B20" s="284">
        <f>SUM(B9:B19)</f>
        <v>829</v>
      </c>
      <c r="C20" s="284">
        <f>SUM(C9:C19)</f>
        <v>4</v>
      </c>
      <c r="D20" s="284">
        <f t="shared" ref="D20:I20" si="1">SUM(D9:D19)</f>
        <v>3</v>
      </c>
      <c r="E20" s="284">
        <f t="shared" si="1"/>
        <v>3</v>
      </c>
      <c r="F20" s="284">
        <f t="shared" si="1"/>
        <v>2</v>
      </c>
      <c r="G20" s="284">
        <f t="shared" si="1"/>
        <v>0</v>
      </c>
      <c r="H20" s="284">
        <f t="shared" si="1"/>
        <v>0</v>
      </c>
      <c r="I20" s="284">
        <f t="shared" si="1"/>
        <v>0</v>
      </c>
      <c r="J20" s="789">
        <f>SUM(J9:J19)</f>
        <v>841</v>
      </c>
      <c r="K20" s="140">
        <f>SUM(K9:K19)</f>
        <v>100</v>
      </c>
      <c r="L20" s="978" t="s">
        <v>18</v>
      </c>
    </row>
    <row r="21" spans="1:12" ht="20.100000000000001" customHeight="1">
      <c r="A21" s="98" t="s">
        <v>19</v>
      </c>
      <c r="B21" s="172">
        <f>B20/$J$20%</f>
        <v>98.573127229488705</v>
      </c>
      <c r="C21" s="172">
        <f t="shared" ref="C21:I21" si="2">C20/$J$20%</f>
        <v>0.47562425683709869</v>
      </c>
      <c r="D21" s="172">
        <f t="shared" si="2"/>
        <v>0.356718192627824</v>
      </c>
      <c r="E21" s="172">
        <f t="shared" si="2"/>
        <v>0.356718192627824</v>
      </c>
      <c r="F21" s="172">
        <f t="shared" si="2"/>
        <v>0.23781212841854935</v>
      </c>
      <c r="G21" s="172">
        <f t="shared" si="2"/>
        <v>0</v>
      </c>
      <c r="H21" s="172">
        <f t="shared" si="2"/>
        <v>0</v>
      </c>
      <c r="I21" s="172">
        <f t="shared" si="2"/>
        <v>0</v>
      </c>
      <c r="J21" s="172">
        <f>SUM(B21:I21)</f>
        <v>100</v>
      </c>
      <c r="K21" s="1202" t="s">
        <v>386</v>
      </c>
      <c r="L21" s="1203"/>
    </row>
    <row r="22" spans="1:12" ht="14.25">
      <c r="A22" s="775" t="s">
        <v>584</v>
      </c>
      <c r="L22" s="5" t="s">
        <v>585</v>
      </c>
    </row>
  </sheetData>
  <mergeCells count="9">
    <mergeCell ref="K21:L21"/>
    <mergeCell ref="K7:K8"/>
    <mergeCell ref="A1:L1"/>
    <mergeCell ref="A2:L2"/>
    <mergeCell ref="A3:L3"/>
    <mergeCell ref="A4:L4"/>
    <mergeCell ref="A7:A8"/>
    <mergeCell ref="B7:J7"/>
    <mergeCell ref="L7:L8"/>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L42"/>
  <sheetViews>
    <sheetView rightToLeft="1" view="pageBreakPreview" topLeftCell="A7" zoomScaleNormal="75" workbookViewId="0">
      <selection activeCell="K24" sqref="K24"/>
    </sheetView>
  </sheetViews>
  <sheetFormatPr defaultColWidth="9.140625" defaultRowHeight="12.75"/>
  <cols>
    <col min="1" max="1" width="19.85546875" style="1" customWidth="1"/>
    <col min="2" max="10" width="8.5703125" style="1" customWidth="1"/>
    <col min="11" max="11" width="11.85546875" style="1" customWidth="1"/>
    <col min="12" max="12" width="24.5703125" style="1" customWidth="1"/>
    <col min="13" max="16384" width="9.140625" style="1"/>
  </cols>
  <sheetData>
    <row r="1" spans="1:12" s="2" customFormat="1" ht="24" customHeight="1">
      <c r="A1" s="1009" t="s">
        <v>0</v>
      </c>
      <c r="B1" s="1009"/>
      <c r="C1" s="1110"/>
      <c r="D1" s="1009"/>
      <c r="E1" s="1009"/>
      <c r="F1" s="1009"/>
      <c r="G1" s="1009"/>
      <c r="H1" s="1009"/>
      <c r="I1" s="1009"/>
      <c r="J1" s="1009"/>
      <c r="K1" s="1009"/>
      <c r="L1" s="1009"/>
    </row>
    <row r="2" spans="1:12" s="3" customFormat="1" ht="18" customHeight="1">
      <c r="A2" s="1036" t="s">
        <v>535</v>
      </c>
      <c r="B2" s="1036"/>
      <c r="C2" s="1036"/>
      <c r="D2" s="1036"/>
      <c r="E2" s="1036"/>
      <c r="F2" s="1036"/>
      <c r="G2" s="1036"/>
      <c r="H2" s="1036"/>
      <c r="I2" s="1036"/>
      <c r="J2" s="1036"/>
      <c r="K2" s="1036"/>
      <c r="L2" s="1036"/>
    </row>
    <row r="3" spans="1:12" s="2" customFormat="1" ht="15.75">
      <c r="A3" s="1037">
        <v>2019</v>
      </c>
      <c r="B3" s="1037"/>
      <c r="C3" s="1037"/>
      <c r="D3" s="1037"/>
      <c r="E3" s="1037"/>
      <c r="F3" s="1037"/>
      <c r="G3" s="1037"/>
      <c r="H3" s="1037"/>
      <c r="I3" s="1037"/>
      <c r="J3" s="1037"/>
      <c r="K3" s="1037"/>
      <c r="L3" s="1037"/>
    </row>
    <row r="4" spans="1:12" s="2" customFormat="1" ht="15.75">
      <c r="A4" s="1037" t="s">
        <v>1</v>
      </c>
      <c r="B4" s="1037"/>
      <c r="C4" s="1037"/>
      <c r="D4" s="1037"/>
      <c r="E4" s="1037"/>
      <c r="F4" s="1037"/>
      <c r="G4" s="1037"/>
      <c r="H4" s="1037"/>
      <c r="I4" s="1037"/>
      <c r="J4" s="1037"/>
      <c r="K4" s="1037"/>
      <c r="L4" s="1037"/>
    </row>
    <row r="5" spans="1:12" s="2" customFormat="1" ht="15.75">
      <c r="A5" s="361"/>
      <c r="B5" s="361"/>
      <c r="C5" s="361"/>
      <c r="D5" s="361"/>
      <c r="E5" s="361"/>
      <c r="F5" s="361"/>
      <c r="G5" s="361"/>
      <c r="H5" s="361"/>
      <c r="I5" s="361"/>
      <c r="J5" s="361"/>
      <c r="K5" s="361"/>
      <c r="L5" s="361"/>
    </row>
    <row r="6" spans="1:12" ht="15.75">
      <c r="A6" s="373" t="s">
        <v>486</v>
      </c>
      <c r="B6" s="377"/>
      <c r="C6" s="377"/>
      <c r="D6" s="377"/>
      <c r="E6" s="377"/>
      <c r="F6" s="377"/>
      <c r="G6" s="377"/>
      <c r="H6" s="377"/>
      <c r="I6" s="377"/>
      <c r="J6" s="377"/>
      <c r="K6" s="377"/>
      <c r="L6" s="375" t="s">
        <v>487</v>
      </c>
    </row>
    <row r="7" spans="1:12" ht="30.75" customHeight="1" thickBot="1">
      <c r="A7" s="1099" t="s">
        <v>663</v>
      </c>
      <c r="B7" s="1204" t="s">
        <v>590</v>
      </c>
      <c r="C7" s="1205"/>
      <c r="D7" s="1205"/>
      <c r="E7" s="1205"/>
      <c r="F7" s="1205"/>
      <c r="G7" s="1205"/>
      <c r="H7" s="1205"/>
      <c r="I7" s="1205"/>
      <c r="J7" s="1206"/>
      <c r="K7" s="1114" t="s">
        <v>629</v>
      </c>
      <c r="L7" s="1106" t="s">
        <v>4</v>
      </c>
    </row>
    <row r="8" spans="1:12" ht="39" customHeight="1">
      <c r="A8" s="1100"/>
      <c r="B8" s="319">
        <v>0</v>
      </c>
      <c r="C8" s="319">
        <v>1</v>
      </c>
      <c r="D8" s="319">
        <v>2</v>
      </c>
      <c r="E8" s="319">
        <v>3</v>
      </c>
      <c r="F8" s="319">
        <v>4</v>
      </c>
      <c r="G8" s="319">
        <v>5</v>
      </c>
      <c r="H8" s="319" t="s">
        <v>558</v>
      </c>
      <c r="I8" s="328" t="s">
        <v>655</v>
      </c>
      <c r="J8" s="325" t="s">
        <v>605</v>
      </c>
      <c r="K8" s="1128"/>
      <c r="L8" s="1107"/>
    </row>
    <row r="9" spans="1:12" ht="17.25" customHeight="1" thickBot="1">
      <c r="A9" s="857">
        <v>-20</v>
      </c>
      <c r="B9" s="287">
        <v>9</v>
      </c>
      <c r="C9" s="81">
        <v>0</v>
      </c>
      <c r="D9" s="81">
        <v>0</v>
      </c>
      <c r="E9" s="81">
        <v>0</v>
      </c>
      <c r="F9" s="81">
        <v>0</v>
      </c>
      <c r="G9" s="81">
        <v>0</v>
      </c>
      <c r="H9" s="81">
        <v>0</v>
      </c>
      <c r="I9" s="81">
        <v>0</v>
      </c>
      <c r="J9" s="289">
        <f>SUM(Table_Default__XLS_TAB_41_353[[#This Row],[SON_CNT_0]:[SON_CNT_NOT_STATED]])</f>
        <v>9</v>
      </c>
      <c r="K9" s="790">
        <f t="shared" ref="K9:K19" si="0">J9/$J$20%</f>
        <v>0.49099836333878893</v>
      </c>
      <c r="L9" s="981">
        <v>-20</v>
      </c>
    </row>
    <row r="10" spans="1:12" ht="17.25" customHeight="1" thickBot="1">
      <c r="A10" s="976" t="s">
        <v>128</v>
      </c>
      <c r="B10" s="287">
        <v>165</v>
      </c>
      <c r="C10" s="81">
        <v>0</v>
      </c>
      <c r="D10" s="81">
        <v>0</v>
      </c>
      <c r="E10" s="81">
        <v>0</v>
      </c>
      <c r="F10" s="81">
        <v>0</v>
      </c>
      <c r="G10" s="81">
        <v>0</v>
      </c>
      <c r="H10" s="81">
        <v>0</v>
      </c>
      <c r="I10" s="81">
        <v>1</v>
      </c>
      <c r="J10" s="289">
        <f>SUM(Table_Default__XLS_TAB_41_353[[#This Row],[SON_CNT_0]:[SON_CNT_NOT_STATED]])</f>
        <v>166</v>
      </c>
      <c r="K10" s="263">
        <f t="shared" si="0"/>
        <v>9.0561920349154406</v>
      </c>
      <c r="L10" s="780" t="s">
        <v>128</v>
      </c>
    </row>
    <row r="11" spans="1:12" ht="17.25" customHeight="1" thickBot="1">
      <c r="A11" s="778" t="s">
        <v>127</v>
      </c>
      <c r="B11" s="287">
        <v>363</v>
      </c>
      <c r="C11" s="81">
        <v>0</v>
      </c>
      <c r="D11" s="81">
        <v>1</v>
      </c>
      <c r="E11" s="81">
        <v>0</v>
      </c>
      <c r="F11" s="81">
        <v>0</v>
      </c>
      <c r="G11" s="81">
        <v>0</v>
      </c>
      <c r="H11" s="81">
        <v>0</v>
      </c>
      <c r="I11" s="81">
        <v>0</v>
      </c>
      <c r="J11" s="289">
        <f>SUM(Table_Default__XLS_TAB_41_353[[#This Row],[SON_CNT_0]:[SON_CNT_NOT_STATED]])</f>
        <v>364</v>
      </c>
      <c r="K11" s="292">
        <f t="shared" si="0"/>
        <v>19.858156028368796</v>
      </c>
      <c r="L11" s="781" t="s">
        <v>127</v>
      </c>
    </row>
    <row r="12" spans="1:12" ht="17.25" customHeight="1" thickBot="1">
      <c r="A12" s="976" t="s">
        <v>126</v>
      </c>
      <c r="B12" s="287">
        <v>388</v>
      </c>
      <c r="C12" s="81">
        <v>5</v>
      </c>
      <c r="D12" s="81">
        <v>2</v>
      </c>
      <c r="E12" s="81">
        <v>1</v>
      </c>
      <c r="F12" s="81">
        <v>0</v>
      </c>
      <c r="G12" s="81">
        <v>0</v>
      </c>
      <c r="H12" s="81">
        <v>0</v>
      </c>
      <c r="I12" s="81">
        <v>0</v>
      </c>
      <c r="J12" s="289">
        <f>SUM(Table_Default__XLS_TAB_41_353[[#This Row],[SON_CNT_0]:[SON_CNT_NOT_STATED]])</f>
        <v>396</v>
      </c>
      <c r="K12" s="263">
        <f t="shared" si="0"/>
        <v>21.603927986906712</v>
      </c>
      <c r="L12" s="780" t="s">
        <v>126</v>
      </c>
    </row>
    <row r="13" spans="1:12" ht="17.25" customHeight="1" thickBot="1">
      <c r="A13" s="778" t="s">
        <v>125</v>
      </c>
      <c r="B13" s="287">
        <v>297</v>
      </c>
      <c r="C13" s="81">
        <v>0</v>
      </c>
      <c r="D13" s="81">
        <v>0</v>
      </c>
      <c r="E13" s="81">
        <v>1</v>
      </c>
      <c r="F13" s="81">
        <v>1</v>
      </c>
      <c r="G13" s="81">
        <v>0</v>
      </c>
      <c r="H13" s="81">
        <v>0</v>
      </c>
      <c r="I13" s="81">
        <v>1</v>
      </c>
      <c r="J13" s="289">
        <f>SUM(Table_Default__XLS_TAB_41_353[[#This Row],[SON_CNT_0]:[SON_CNT_NOT_STATED]])</f>
        <v>300</v>
      </c>
      <c r="K13" s="292">
        <f t="shared" si="0"/>
        <v>16.366612111292962</v>
      </c>
      <c r="L13" s="781" t="s">
        <v>125</v>
      </c>
    </row>
    <row r="14" spans="1:12" ht="17.25" customHeight="1" thickBot="1">
      <c r="A14" s="976" t="s">
        <v>124</v>
      </c>
      <c r="B14" s="287">
        <v>209</v>
      </c>
      <c r="C14" s="81">
        <v>1</v>
      </c>
      <c r="D14" s="81">
        <v>1</v>
      </c>
      <c r="E14" s="81">
        <v>1</v>
      </c>
      <c r="F14" s="81">
        <v>0</v>
      </c>
      <c r="G14" s="81">
        <v>0</v>
      </c>
      <c r="H14" s="81">
        <v>0</v>
      </c>
      <c r="I14" s="81">
        <v>0</v>
      </c>
      <c r="J14" s="289">
        <f>SUM(Table_Default__XLS_TAB_41_353[[#This Row],[SON_CNT_0]:[SON_CNT_NOT_STATED]])</f>
        <v>212</v>
      </c>
      <c r="K14" s="263">
        <f t="shared" si="0"/>
        <v>11.565739225313694</v>
      </c>
      <c r="L14" s="780" t="s">
        <v>124</v>
      </c>
    </row>
    <row r="15" spans="1:12" ht="17.25" customHeight="1" thickBot="1">
      <c r="A15" s="778" t="s">
        <v>123</v>
      </c>
      <c r="B15" s="287">
        <v>160</v>
      </c>
      <c r="C15" s="81">
        <v>0</v>
      </c>
      <c r="D15" s="81">
        <v>0</v>
      </c>
      <c r="E15" s="81">
        <v>1</v>
      </c>
      <c r="F15" s="81">
        <v>1</v>
      </c>
      <c r="G15" s="81">
        <v>0</v>
      </c>
      <c r="H15" s="81">
        <v>3</v>
      </c>
      <c r="I15" s="81">
        <v>0</v>
      </c>
      <c r="J15" s="289">
        <f>SUM(Table_Default__XLS_TAB_41_353[[#This Row],[SON_CNT_0]:[SON_CNT_NOT_STATED]])</f>
        <v>165</v>
      </c>
      <c r="K15" s="292">
        <f t="shared" si="0"/>
        <v>9.0016366612111298</v>
      </c>
      <c r="L15" s="781" t="s">
        <v>123</v>
      </c>
    </row>
    <row r="16" spans="1:12" ht="17.25" customHeight="1" thickBot="1">
      <c r="A16" s="976" t="s">
        <v>122</v>
      </c>
      <c r="B16" s="287">
        <v>88</v>
      </c>
      <c r="C16" s="81">
        <v>0</v>
      </c>
      <c r="D16" s="81">
        <v>0</v>
      </c>
      <c r="E16" s="81">
        <v>1</v>
      </c>
      <c r="F16" s="81">
        <v>0</v>
      </c>
      <c r="G16" s="81">
        <v>1</v>
      </c>
      <c r="H16" s="81">
        <v>0</v>
      </c>
      <c r="I16" s="81">
        <v>0</v>
      </c>
      <c r="J16" s="289">
        <f>SUM(Table_Default__XLS_TAB_41_353[[#This Row],[SON_CNT_0]:[SON_CNT_NOT_STATED]])</f>
        <v>90</v>
      </c>
      <c r="K16" s="263">
        <f t="shared" si="0"/>
        <v>4.9099836333878892</v>
      </c>
      <c r="L16" s="780" t="s">
        <v>122</v>
      </c>
    </row>
    <row r="17" spans="1:12" ht="17.25" customHeight="1" thickBot="1">
      <c r="A17" s="778" t="s">
        <v>121</v>
      </c>
      <c r="B17" s="287">
        <v>43</v>
      </c>
      <c r="C17" s="81">
        <v>0</v>
      </c>
      <c r="D17" s="81">
        <v>0</v>
      </c>
      <c r="E17" s="81">
        <v>0</v>
      </c>
      <c r="F17" s="81">
        <v>0</v>
      </c>
      <c r="G17" s="81">
        <v>0</v>
      </c>
      <c r="H17" s="81">
        <v>1</v>
      </c>
      <c r="I17" s="81">
        <v>0</v>
      </c>
      <c r="J17" s="289">
        <f>SUM(Table_Default__XLS_TAB_41_353[[#This Row],[SON_CNT_0]:[SON_CNT_NOT_STATED]])</f>
        <v>44</v>
      </c>
      <c r="K17" s="292">
        <f t="shared" si="0"/>
        <v>2.4004364429896348</v>
      </c>
      <c r="L17" s="781" t="s">
        <v>121</v>
      </c>
    </row>
    <row r="18" spans="1:12" ht="17.25" customHeight="1" thickBot="1">
      <c r="A18" s="976" t="s">
        <v>133</v>
      </c>
      <c r="B18" s="287">
        <v>22</v>
      </c>
      <c r="C18" s="81">
        <v>0</v>
      </c>
      <c r="D18" s="81">
        <v>0</v>
      </c>
      <c r="E18" s="81">
        <v>0</v>
      </c>
      <c r="F18" s="81">
        <v>0</v>
      </c>
      <c r="G18" s="81">
        <v>0</v>
      </c>
      <c r="H18" s="81">
        <v>0</v>
      </c>
      <c r="I18" s="81">
        <v>0</v>
      </c>
      <c r="J18" s="289">
        <f>SUM(Table_Default__XLS_TAB_41_353[[#This Row],[SON_CNT_0]:[SON_CNT_NOT_STATED]])</f>
        <v>22</v>
      </c>
      <c r="K18" s="263">
        <f t="shared" si="0"/>
        <v>1.2002182214948174</v>
      </c>
      <c r="L18" s="780" t="s">
        <v>133</v>
      </c>
    </row>
    <row r="19" spans="1:12" ht="17.25" customHeight="1" thickBot="1">
      <c r="A19" s="779" t="s">
        <v>15</v>
      </c>
      <c r="B19" s="288">
        <v>65</v>
      </c>
      <c r="C19" s="282">
        <v>0</v>
      </c>
      <c r="D19" s="282">
        <v>0</v>
      </c>
      <c r="E19" s="282">
        <v>0</v>
      </c>
      <c r="F19" s="282">
        <v>0</v>
      </c>
      <c r="G19" s="282">
        <v>0</v>
      </c>
      <c r="H19" s="282">
        <v>0</v>
      </c>
      <c r="I19" s="282">
        <v>0</v>
      </c>
      <c r="J19" s="289">
        <f>SUM(Table_Default__XLS_TAB_41_353[[#This Row],[SON_CNT_0]:[SON_CNT_NOT_STATED]])</f>
        <v>65</v>
      </c>
      <c r="K19" s="293">
        <f t="shared" si="0"/>
        <v>3.5460992907801421</v>
      </c>
      <c r="L19" s="782" t="s">
        <v>16</v>
      </c>
    </row>
    <row r="20" spans="1:12" ht="20.100000000000001" customHeight="1" thickBot="1">
      <c r="A20" s="979" t="s">
        <v>17</v>
      </c>
      <c r="B20" s="139">
        <f>SUM(B9:B19)</f>
        <v>1809</v>
      </c>
      <c r="C20" s="139">
        <f t="shared" ref="C20:H20" si="1">SUM(C9:C19)</f>
        <v>6</v>
      </c>
      <c r="D20" s="139">
        <f t="shared" si="1"/>
        <v>4</v>
      </c>
      <c r="E20" s="139">
        <f t="shared" si="1"/>
        <v>5</v>
      </c>
      <c r="F20" s="139">
        <f t="shared" si="1"/>
        <v>2</v>
      </c>
      <c r="G20" s="139">
        <f t="shared" si="1"/>
        <v>1</v>
      </c>
      <c r="H20" s="139">
        <f t="shared" si="1"/>
        <v>4</v>
      </c>
      <c r="I20" s="139">
        <f>SUM(I9:I19)</f>
        <v>2</v>
      </c>
      <c r="J20" s="139">
        <f>SUM(J9:J19)</f>
        <v>1833</v>
      </c>
      <c r="K20" s="140">
        <f t="shared" ref="K20" si="2">SUM(K9:K19)</f>
        <v>100.00000000000001</v>
      </c>
      <c r="L20" s="978" t="s">
        <v>18</v>
      </c>
    </row>
    <row r="21" spans="1:12" ht="20.100000000000001" customHeight="1">
      <c r="A21" s="124" t="s">
        <v>19</v>
      </c>
      <c r="B21" s="172">
        <f>B20/$J$20%</f>
        <v>98.690671031096571</v>
      </c>
      <c r="C21" s="172">
        <f t="shared" ref="C21:I21" si="3">C20/$J$20%</f>
        <v>0.32733224222585927</v>
      </c>
      <c r="D21" s="172">
        <f t="shared" si="3"/>
        <v>0.21822149481723951</v>
      </c>
      <c r="E21" s="172">
        <f t="shared" si="3"/>
        <v>0.27277686852154942</v>
      </c>
      <c r="F21" s="172">
        <f t="shared" si="3"/>
        <v>0.10911074740861976</v>
      </c>
      <c r="G21" s="172">
        <f t="shared" si="3"/>
        <v>5.4555373704309879E-2</v>
      </c>
      <c r="H21" s="172">
        <f>H20/$J$20%</f>
        <v>0.21822149481723951</v>
      </c>
      <c r="I21" s="172">
        <f t="shared" si="3"/>
        <v>0.10911074740861976</v>
      </c>
      <c r="J21" s="172">
        <f>SUM(B21:I21)</f>
        <v>100.00000000000001</v>
      </c>
      <c r="K21" s="1202" t="s">
        <v>20</v>
      </c>
      <c r="L21" s="1203"/>
    </row>
    <row r="22" spans="1:12" ht="14.25">
      <c r="A22" s="775" t="s">
        <v>584</v>
      </c>
      <c r="L22" s="5" t="s">
        <v>585</v>
      </c>
    </row>
    <row r="30" spans="1:12">
      <c r="B30" s="1" t="s">
        <v>21</v>
      </c>
      <c r="C30" s="1" t="s">
        <v>22</v>
      </c>
    </row>
    <row r="31" spans="1:12">
      <c r="A31" s="1">
        <v>-20</v>
      </c>
      <c r="B31" s="1">
        <f>'43-1'!J9</f>
        <v>4</v>
      </c>
      <c r="C31" s="1">
        <f>'43-2'!J9</f>
        <v>5</v>
      </c>
    </row>
    <row r="32" spans="1:12">
      <c r="A32" s="1" t="s">
        <v>6</v>
      </c>
      <c r="B32" s="1">
        <f>'43-1'!J10</f>
        <v>109</v>
      </c>
      <c r="C32" s="1">
        <f>'43-2'!J10</f>
        <v>57</v>
      </c>
    </row>
    <row r="33" spans="1:4">
      <c r="A33" s="1" t="s">
        <v>7</v>
      </c>
      <c r="B33" s="1">
        <f>'43-1'!J11</f>
        <v>235</v>
      </c>
      <c r="C33" s="1">
        <f>'43-2'!J11</f>
        <v>129</v>
      </c>
    </row>
    <row r="34" spans="1:4">
      <c r="A34" s="1" t="s">
        <v>8</v>
      </c>
      <c r="B34" s="1">
        <f>'43-1'!J12</f>
        <v>206</v>
      </c>
      <c r="C34" s="1">
        <f>'43-2'!J12</f>
        <v>190</v>
      </c>
    </row>
    <row r="35" spans="1:4">
      <c r="A35" s="1" t="s">
        <v>9</v>
      </c>
      <c r="B35" s="1">
        <f>'43-1'!J13</f>
        <v>135</v>
      </c>
      <c r="C35" s="1">
        <f>'43-2'!J13</f>
        <v>165</v>
      </c>
    </row>
    <row r="36" spans="1:4">
      <c r="A36" s="1" t="s">
        <v>10</v>
      </c>
      <c r="B36" s="1">
        <f>'43-1'!J14</f>
        <v>107</v>
      </c>
      <c r="C36" s="1">
        <f>'43-2'!J14</f>
        <v>105</v>
      </c>
    </row>
    <row r="37" spans="1:4">
      <c r="A37" s="1" t="s">
        <v>11</v>
      </c>
      <c r="B37" s="1">
        <f>'43-1'!J15</f>
        <v>88</v>
      </c>
      <c r="C37" s="1">
        <f>'43-2'!J15</f>
        <v>77</v>
      </c>
    </row>
    <row r="38" spans="1:4">
      <c r="A38" s="1" t="s">
        <v>12</v>
      </c>
      <c r="B38" s="1">
        <f>'43-1'!J16</f>
        <v>60</v>
      </c>
      <c r="C38" s="1">
        <f>'43-2'!J16</f>
        <v>30</v>
      </c>
    </row>
    <row r="39" spans="1:4">
      <c r="A39" s="1" t="s">
        <v>13</v>
      </c>
      <c r="B39" s="1">
        <f>'43-1'!J17</f>
        <v>32</v>
      </c>
      <c r="C39" s="1">
        <f>'43-2'!J17</f>
        <v>12</v>
      </c>
    </row>
    <row r="40" spans="1:4">
      <c r="A40" s="1" t="s">
        <v>14</v>
      </c>
      <c r="B40" s="1">
        <f>'43-1'!J18</f>
        <v>16</v>
      </c>
      <c r="C40" s="1">
        <f>'43-2'!J18</f>
        <v>6</v>
      </c>
    </row>
    <row r="41" spans="1:4">
      <c r="A41" s="1" t="s">
        <v>15</v>
      </c>
      <c r="B41" s="1">
        <f>'43-1'!J19</f>
        <v>0</v>
      </c>
      <c r="C41" s="1">
        <f>'43-2'!J19</f>
        <v>65</v>
      </c>
    </row>
    <row r="42" spans="1:4">
      <c r="B42" s="1">
        <f>SUM(B31:B41)</f>
        <v>992</v>
      </c>
      <c r="C42" s="1">
        <f>SUM(C31:C41)</f>
        <v>841</v>
      </c>
      <c r="D42" s="1">
        <f>B42+C42</f>
        <v>1833</v>
      </c>
    </row>
  </sheetData>
  <mergeCells count="9">
    <mergeCell ref="K21:L21"/>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O26"/>
  <sheetViews>
    <sheetView rightToLeft="1" view="pageBreakPreview" zoomScaleNormal="75" workbookViewId="0">
      <selection activeCell="M18" sqref="M18"/>
    </sheetView>
  </sheetViews>
  <sheetFormatPr defaultColWidth="9.140625" defaultRowHeight="12.75"/>
  <cols>
    <col min="1" max="1" width="16.85546875" style="2" customWidth="1"/>
    <col min="2" max="2" width="11.5703125" style="2" customWidth="1"/>
    <col min="3" max="9" width="7.5703125" style="2" customWidth="1"/>
    <col min="10" max="10" width="9.42578125" style="2" customWidth="1"/>
    <col min="11" max="12" width="10.5703125" style="2" customWidth="1"/>
    <col min="13" max="13" width="11.85546875" style="195" customWidth="1"/>
    <col min="14" max="14" width="24.5703125" style="2" customWidth="1"/>
    <col min="15" max="16384" width="9.140625" style="2"/>
  </cols>
  <sheetData>
    <row r="1" spans="1:15" ht="18">
      <c r="A1" s="1009" t="s">
        <v>24</v>
      </c>
      <c r="B1" s="1009"/>
      <c r="C1" s="1009"/>
      <c r="D1" s="1110"/>
      <c r="E1" s="1009"/>
      <c r="F1" s="1009"/>
      <c r="G1" s="1009"/>
      <c r="H1" s="1009"/>
      <c r="I1" s="1009"/>
      <c r="J1" s="1009"/>
      <c r="K1" s="1009"/>
      <c r="L1" s="1009"/>
      <c r="M1" s="1009"/>
      <c r="N1" s="1009"/>
    </row>
    <row r="2" spans="1:15" s="3" customFormat="1" ht="18" customHeight="1">
      <c r="A2" s="1036" t="s">
        <v>555</v>
      </c>
      <c r="B2" s="1036"/>
      <c r="C2" s="1036"/>
      <c r="D2" s="1036"/>
      <c r="E2" s="1036"/>
      <c r="F2" s="1036"/>
      <c r="G2" s="1036"/>
      <c r="H2" s="1036"/>
      <c r="I2" s="1036"/>
      <c r="J2" s="1036"/>
      <c r="K2" s="1036"/>
      <c r="L2" s="1036"/>
      <c r="M2" s="1036"/>
      <c r="N2" s="1036"/>
    </row>
    <row r="3" spans="1:15" ht="15.75">
      <c r="A3" s="1037">
        <v>2019</v>
      </c>
      <c r="B3" s="1037"/>
      <c r="C3" s="1037"/>
      <c r="D3" s="1037"/>
      <c r="E3" s="1037"/>
      <c r="F3" s="1037"/>
      <c r="G3" s="1037"/>
      <c r="H3" s="1037"/>
      <c r="I3" s="1037"/>
      <c r="J3" s="1037"/>
      <c r="K3" s="1037"/>
      <c r="L3" s="1037"/>
      <c r="M3" s="1037"/>
      <c r="N3" s="1037"/>
    </row>
    <row r="4" spans="1:15" ht="15.75">
      <c r="A4" s="1037"/>
      <c r="B4" s="1037"/>
      <c r="C4" s="1037"/>
      <c r="D4" s="1037"/>
      <c r="E4" s="1037"/>
      <c r="F4" s="1037"/>
      <c r="G4" s="1037"/>
      <c r="H4" s="1037"/>
      <c r="I4" s="1037"/>
      <c r="J4" s="1037"/>
      <c r="K4" s="1037"/>
      <c r="L4" s="1037"/>
      <c r="M4" s="1037"/>
      <c r="N4" s="1037"/>
    </row>
    <row r="5" spans="1:15" ht="15.75">
      <c r="A5" s="373" t="s">
        <v>527</v>
      </c>
      <c r="B5" s="373"/>
      <c r="C5" s="378"/>
      <c r="D5" s="378"/>
      <c r="E5" s="378"/>
      <c r="F5" s="378"/>
      <c r="G5" s="378"/>
      <c r="H5" s="378"/>
      <c r="I5" s="378"/>
      <c r="J5" s="378"/>
      <c r="K5" s="378"/>
      <c r="L5" s="378"/>
      <c r="M5" s="379"/>
      <c r="N5" s="375" t="s">
        <v>528</v>
      </c>
      <c r="O5" s="185"/>
    </row>
    <row r="6" spans="1:15" ht="30.75" customHeight="1" thickBot="1">
      <c r="A6" s="1099" t="s">
        <v>250</v>
      </c>
      <c r="B6" s="1114" t="s">
        <v>291</v>
      </c>
      <c r="C6" s="1204" t="s">
        <v>590</v>
      </c>
      <c r="D6" s="1205"/>
      <c r="E6" s="1205"/>
      <c r="F6" s="1205"/>
      <c r="G6" s="1205"/>
      <c r="H6" s="1205"/>
      <c r="I6" s="1205"/>
      <c r="J6" s="1205"/>
      <c r="K6" s="1206"/>
      <c r="L6" s="1114" t="s">
        <v>662</v>
      </c>
      <c r="M6" s="1126" t="s">
        <v>290</v>
      </c>
      <c r="N6" s="1106" t="s">
        <v>289</v>
      </c>
      <c r="O6" s="185"/>
    </row>
    <row r="7" spans="1:15" ht="37.5" customHeight="1">
      <c r="A7" s="1108"/>
      <c r="B7" s="1115"/>
      <c r="C7" s="319">
        <v>0</v>
      </c>
      <c r="D7" s="319">
        <v>1</v>
      </c>
      <c r="E7" s="319">
        <v>2</v>
      </c>
      <c r="F7" s="319">
        <v>3</v>
      </c>
      <c r="G7" s="319">
        <v>4</v>
      </c>
      <c r="H7" s="319">
        <v>5</v>
      </c>
      <c r="I7" s="319" t="s">
        <v>558</v>
      </c>
      <c r="J7" s="328" t="s">
        <v>655</v>
      </c>
      <c r="K7" s="325" t="s">
        <v>605</v>
      </c>
      <c r="L7" s="1128"/>
      <c r="M7" s="1127"/>
      <c r="N7" s="1109"/>
      <c r="O7" s="185"/>
    </row>
    <row r="8" spans="1:15" ht="25.5" customHeight="1" thickBot="1">
      <c r="A8" s="1131" t="s">
        <v>278</v>
      </c>
      <c r="B8" s="205" t="s">
        <v>283</v>
      </c>
      <c r="C8" s="218">
        <v>912</v>
      </c>
      <c r="D8" s="217">
        <v>2</v>
      </c>
      <c r="E8" s="217">
        <v>1</v>
      </c>
      <c r="F8" s="217">
        <v>2</v>
      </c>
      <c r="G8" s="217">
        <v>0</v>
      </c>
      <c r="H8" s="217">
        <v>1</v>
      </c>
      <c r="I8" s="217">
        <v>4</v>
      </c>
      <c r="J8" s="217">
        <v>1</v>
      </c>
      <c r="K8" s="294">
        <f t="shared" ref="K8:K15" si="0">SUM(C8:J8)</f>
        <v>923</v>
      </c>
      <c r="L8" s="770">
        <f>K8/$K$16%</f>
        <v>50.354609929078016</v>
      </c>
      <c r="M8" s="200" t="s">
        <v>282</v>
      </c>
      <c r="N8" s="1129" t="s">
        <v>288</v>
      </c>
      <c r="O8" s="185"/>
    </row>
    <row r="9" spans="1:15" ht="25.5" customHeight="1" thickBot="1">
      <c r="A9" s="1132"/>
      <c r="B9" s="206" t="s">
        <v>281</v>
      </c>
      <c r="C9" s="213">
        <v>0</v>
      </c>
      <c r="D9" s="197">
        <v>2</v>
      </c>
      <c r="E9" s="197">
        <v>2</v>
      </c>
      <c r="F9" s="197">
        <v>6</v>
      </c>
      <c r="G9" s="197">
        <v>0</v>
      </c>
      <c r="H9" s="197">
        <v>5</v>
      </c>
      <c r="I9" s="197">
        <v>27</v>
      </c>
      <c r="J9" s="197">
        <v>0</v>
      </c>
      <c r="K9" s="294">
        <f t="shared" si="0"/>
        <v>42</v>
      </c>
      <c r="L9" s="418">
        <f>K9/$K$17%</f>
        <v>60.869565217391312</v>
      </c>
      <c r="M9" s="201" t="s">
        <v>280</v>
      </c>
      <c r="N9" s="1130"/>
      <c r="O9" s="185"/>
    </row>
    <row r="10" spans="1:15" ht="25.5" customHeight="1" thickBot="1">
      <c r="A10" s="1133" t="s">
        <v>287</v>
      </c>
      <c r="B10" s="207" t="s">
        <v>283</v>
      </c>
      <c r="C10" s="214">
        <v>189</v>
      </c>
      <c r="D10" s="198">
        <v>3</v>
      </c>
      <c r="E10" s="198">
        <v>0</v>
      </c>
      <c r="F10" s="198">
        <v>0</v>
      </c>
      <c r="G10" s="198">
        <v>0</v>
      </c>
      <c r="H10" s="198">
        <v>0</v>
      </c>
      <c r="I10" s="198">
        <v>0</v>
      </c>
      <c r="J10" s="198">
        <v>0</v>
      </c>
      <c r="K10" s="447">
        <f t="shared" si="0"/>
        <v>192</v>
      </c>
      <c r="L10" s="448">
        <f>K10/$K$16%</f>
        <v>10.474631751227497</v>
      </c>
      <c r="M10" s="202" t="s">
        <v>282</v>
      </c>
      <c r="N10" s="1139" t="s">
        <v>286</v>
      </c>
      <c r="O10" s="185"/>
    </row>
    <row r="11" spans="1:15" ht="25.5" customHeight="1" thickBot="1">
      <c r="A11" s="1133"/>
      <c r="B11" s="207" t="s">
        <v>281</v>
      </c>
      <c r="C11" s="214">
        <v>0</v>
      </c>
      <c r="D11" s="198">
        <v>3</v>
      </c>
      <c r="E11" s="198">
        <v>0</v>
      </c>
      <c r="F11" s="198">
        <v>0</v>
      </c>
      <c r="G11" s="198">
        <v>0</v>
      </c>
      <c r="H11" s="198">
        <v>0</v>
      </c>
      <c r="I11" s="198">
        <v>0</v>
      </c>
      <c r="J11" s="198">
        <v>0</v>
      </c>
      <c r="K11" s="447">
        <f t="shared" si="0"/>
        <v>3</v>
      </c>
      <c r="L11" s="449">
        <f>K11/$K$17%</f>
        <v>4.3478260869565224</v>
      </c>
      <c r="M11" s="202" t="s">
        <v>280</v>
      </c>
      <c r="N11" s="1139"/>
      <c r="O11" s="185"/>
    </row>
    <row r="12" spans="1:15" ht="25.5" customHeight="1" thickBot="1">
      <c r="A12" s="1132" t="s">
        <v>276</v>
      </c>
      <c r="B12" s="206" t="s">
        <v>283</v>
      </c>
      <c r="C12" s="213">
        <v>68</v>
      </c>
      <c r="D12" s="197">
        <v>0</v>
      </c>
      <c r="E12" s="197">
        <v>0</v>
      </c>
      <c r="F12" s="197">
        <v>0</v>
      </c>
      <c r="G12" s="197">
        <v>0</v>
      </c>
      <c r="H12" s="197">
        <v>0</v>
      </c>
      <c r="I12" s="197">
        <v>0</v>
      </c>
      <c r="J12" s="197">
        <v>1</v>
      </c>
      <c r="K12" s="294">
        <f t="shared" si="0"/>
        <v>69</v>
      </c>
      <c r="L12" s="417">
        <f>K12/$K$16%</f>
        <v>3.7643207855973815</v>
      </c>
      <c r="M12" s="201" t="s">
        <v>282</v>
      </c>
      <c r="N12" s="1130" t="s">
        <v>285</v>
      </c>
      <c r="O12" s="185"/>
    </row>
    <row r="13" spans="1:15" ht="25.5" customHeight="1" thickBot="1">
      <c r="A13" s="1132"/>
      <c r="B13" s="206" t="s">
        <v>281</v>
      </c>
      <c r="C13" s="213">
        <v>0</v>
      </c>
      <c r="D13" s="197">
        <v>0</v>
      </c>
      <c r="E13" s="197">
        <v>0</v>
      </c>
      <c r="F13" s="197">
        <v>0</v>
      </c>
      <c r="G13" s="197">
        <v>0</v>
      </c>
      <c r="H13" s="197">
        <v>0</v>
      </c>
      <c r="I13" s="197">
        <v>0</v>
      </c>
      <c r="J13" s="197">
        <v>0</v>
      </c>
      <c r="K13" s="294">
        <f t="shared" si="0"/>
        <v>0</v>
      </c>
      <c r="L13" s="418">
        <f>K13/$K$17%</f>
        <v>0</v>
      </c>
      <c r="M13" s="201" t="s">
        <v>280</v>
      </c>
      <c r="N13" s="1130"/>
    </row>
    <row r="14" spans="1:15" ht="25.5" customHeight="1" thickBot="1">
      <c r="A14" s="1133" t="s">
        <v>275</v>
      </c>
      <c r="B14" s="207" t="s">
        <v>283</v>
      </c>
      <c r="C14" s="214">
        <v>640</v>
      </c>
      <c r="D14" s="198">
        <v>1</v>
      </c>
      <c r="E14" s="198">
        <v>3</v>
      </c>
      <c r="F14" s="198">
        <v>3</v>
      </c>
      <c r="G14" s="198">
        <v>2</v>
      </c>
      <c r="H14" s="198">
        <v>0</v>
      </c>
      <c r="I14" s="198">
        <v>0</v>
      </c>
      <c r="J14" s="198">
        <v>0</v>
      </c>
      <c r="K14" s="447">
        <f t="shared" si="0"/>
        <v>649</v>
      </c>
      <c r="L14" s="448">
        <f>K14/$K$16%</f>
        <v>35.406437534097115</v>
      </c>
      <c r="M14" s="202" t="s">
        <v>282</v>
      </c>
      <c r="N14" s="1139" t="s">
        <v>284</v>
      </c>
    </row>
    <row r="15" spans="1:15" ht="25.5" customHeight="1">
      <c r="A15" s="1134"/>
      <c r="B15" s="208" t="s">
        <v>281</v>
      </c>
      <c r="C15" s="215">
        <v>0</v>
      </c>
      <c r="D15" s="199">
        <v>1</v>
      </c>
      <c r="E15" s="199">
        <v>6</v>
      </c>
      <c r="F15" s="199">
        <v>9</v>
      </c>
      <c r="G15" s="199">
        <v>8</v>
      </c>
      <c r="H15" s="199">
        <v>0</v>
      </c>
      <c r="I15" s="199">
        <v>0</v>
      </c>
      <c r="J15" s="199">
        <v>0</v>
      </c>
      <c r="K15" s="450">
        <f t="shared" si="0"/>
        <v>24</v>
      </c>
      <c r="L15" s="451">
        <f>K15/$K$17%</f>
        <v>34.782608695652179</v>
      </c>
      <c r="M15" s="203" t="s">
        <v>280</v>
      </c>
      <c r="N15" s="1140"/>
    </row>
    <row r="16" spans="1:15" ht="22.5" customHeight="1" thickBot="1">
      <c r="A16" s="1137" t="s">
        <v>192</v>
      </c>
      <c r="B16" s="205" t="s">
        <v>283</v>
      </c>
      <c r="C16" s="771">
        <f t="shared" ref="C16:J17" si="1">C14+C12+C10+C8</f>
        <v>1809</v>
      </c>
      <c r="D16" s="771">
        <f t="shared" si="1"/>
        <v>6</v>
      </c>
      <c r="E16" s="771">
        <f t="shared" si="1"/>
        <v>4</v>
      </c>
      <c r="F16" s="771">
        <f t="shared" si="1"/>
        <v>5</v>
      </c>
      <c r="G16" s="771">
        <f t="shared" si="1"/>
        <v>2</v>
      </c>
      <c r="H16" s="771">
        <f t="shared" si="1"/>
        <v>1</v>
      </c>
      <c r="I16" s="771">
        <f t="shared" si="1"/>
        <v>4</v>
      </c>
      <c r="J16" s="771">
        <f t="shared" si="1"/>
        <v>2</v>
      </c>
      <c r="K16" s="771">
        <f>K8+K10+K12+K14</f>
        <v>1833</v>
      </c>
      <c r="L16" s="772">
        <f>L8+L10+L12+L14</f>
        <v>100</v>
      </c>
      <c r="M16" s="200" t="s">
        <v>282</v>
      </c>
      <c r="N16" s="1135" t="s">
        <v>18</v>
      </c>
    </row>
    <row r="17" spans="1:14" ht="22.5" customHeight="1">
      <c r="A17" s="1138"/>
      <c r="B17" s="209" t="s">
        <v>281</v>
      </c>
      <c r="C17" s="496">
        <f t="shared" si="1"/>
        <v>0</v>
      </c>
      <c r="D17" s="496">
        <f t="shared" si="1"/>
        <v>6</v>
      </c>
      <c r="E17" s="496">
        <f t="shared" si="1"/>
        <v>8</v>
      </c>
      <c r="F17" s="496">
        <f t="shared" si="1"/>
        <v>15</v>
      </c>
      <c r="G17" s="496">
        <f t="shared" si="1"/>
        <v>8</v>
      </c>
      <c r="H17" s="496">
        <f t="shared" si="1"/>
        <v>5</v>
      </c>
      <c r="I17" s="496">
        <f t="shared" si="1"/>
        <v>27</v>
      </c>
      <c r="J17" s="496">
        <f t="shared" si="1"/>
        <v>0</v>
      </c>
      <c r="K17" s="497">
        <f>K9+K11+K13+K15</f>
        <v>69</v>
      </c>
      <c r="L17" s="498">
        <f>L9+L11+L13+L15</f>
        <v>100</v>
      </c>
      <c r="M17" s="204" t="s">
        <v>280</v>
      </c>
      <c r="N17" s="1136"/>
    </row>
    <row r="18" spans="1:14" ht="14.25">
      <c r="A18" s="775" t="s">
        <v>584</v>
      </c>
      <c r="C18" s="1"/>
      <c r="D18" s="1"/>
      <c r="E18" s="1"/>
      <c r="F18" s="1"/>
      <c r="G18" s="1"/>
      <c r="H18" s="1"/>
      <c r="I18" s="1"/>
      <c r="J18" s="1"/>
      <c r="K18" s="1"/>
      <c r="L18" s="1"/>
      <c r="N18" s="5" t="s">
        <v>585</v>
      </c>
    </row>
    <row r="21" spans="1:14">
      <c r="A21" s="1"/>
      <c r="B21" s="1"/>
    </row>
    <row r="22" spans="1:14" ht="39" thickBot="1">
      <c r="A22" s="1"/>
      <c r="B22" s="13" t="s">
        <v>279</v>
      </c>
      <c r="C22" s="13" t="s">
        <v>538</v>
      </c>
    </row>
    <row r="23" spans="1:14" ht="75.75" thickBot="1">
      <c r="A23" s="66" t="s">
        <v>541</v>
      </c>
      <c r="B23" s="102">
        <f>K8</f>
        <v>923</v>
      </c>
      <c r="C23" s="1">
        <f>K9</f>
        <v>42</v>
      </c>
    </row>
    <row r="24" spans="1:14" ht="90.75" thickBot="1">
      <c r="A24" s="66" t="s">
        <v>542</v>
      </c>
      <c r="B24" s="1">
        <f>K10</f>
        <v>192</v>
      </c>
      <c r="C24" s="1">
        <f>K11</f>
        <v>3</v>
      </c>
    </row>
    <row r="25" spans="1:14" ht="75.75" thickBot="1">
      <c r="A25" s="66" t="s">
        <v>543</v>
      </c>
      <c r="B25" s="1">
        <f>K12</f>
        <v>69</v>
      </c>
      <c r="C25" s="1">
        <f>K13</f>
        <v>0</v>
      </c>
    </row>
    <row r="26" spans="1:14" ht="90">
      <c r="A26" s="66" t="s">
        <v>544</v>
      </c>
      <c r="B26" s="1">
        <f>K14</f>
        <v>649</v>
      </c>
      <c r="C26" s="1">
        <f>K15</f>
        <v>24</v>
      </c>
    </row>
  </sheetData>
  <mergeCells count="20">
    <mergeCell ref="A16:A17"/>
    <mergeCell ref="N16:N17"/>
    <mergeCell ref="A10:A11"/>
    <mergeCell ref="N10:N11"/>
    <mergeCell ref="A12:A13"/>
    <mergeCell ref="N12:N13"/>
    <mergeCell ref="A14:A15"/>
    <mergeCell ref="N14:N15"/>
    <mergeCell ref="A8:A9"/>
    <mergeCell ref="N8:N9"/>
    <mergeCell ref="A1:N1"/>
    <mergeCell ref="A2:N2"/>
    <mergeCell ref="A3:N3"/>
    <mergeCell ref="A4:N4"/>
    <mergeCell ref="A6:A7"/>
    <mergeCell ref="B6:B7"/>
    <mergeCell ref="C6:K6"/>
    <mergeCell ref="M6:M7"/>
    <mergeCell ref="N6:N7"/>
    <mergeCell ref="L6:L7"/>
  </mergeCells>
  <printOptions horizontalCentered="1" verticalCentered="1"/>
  <pageMargins left="0" right="0" top="0" bottom="0" header="0" footer="0"/>
  <pageSetup paperSize="9" scale="88" orientation="landscape" r:id="rId1"/>
  <headerFooter alignWithMargins="0"/>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13"/>
  <sheetViews>
    <sheetView rightToLeft="1" view="pageBreakPreview" zoomScaleNormal="100" zoomScaleSheetLayoutView="100" workbookViewId="0">
      <selection activeCell="G11" sqref="G11"/>
    </sheetView>
  </sheetViews>
  <sheetFormatPr defaultColWidth="9.140625" defaultRowHeight="12.75"/>
  <cols>
    <col min="1" max="1" width="12.42578125" style="1" customWidth="1"/>
    <col min="2" max="13" width="8.85546875" style="1" customWidth="1"/>
    <col min="14" max="14" width="13.42578125" style="1" customWidth="1"/>
    <col min="15" max="16384" width="9.140625" style="1"/>
  </cols>
  <sheetData>
    <row r="1" spans="1:14" ht="18">
      <c r="A1" s="1009" t="s">
        <v>565</v>
      </c>
      <c r="B1" s="1009"/>
      <c r="C1" s="1009"/>
      <c r="D1" s="1009"/>
      <c r="E1" s="1009"/>
      <c r="F1" s="1009"/>
      <c r="G1" s="1009"/>
      <c r="H1" s="1009"/>
      <c r="I1" s="1009"/>
      <c r="J1" s="1009"/>
      <c r="K1" s="1009"/>
      <c r="L1" s="1009"/>
      <c r="M1" s="1009"/>
      <c r="N1" s="1009"/>
    </row>
    <row r="2" spans="1:14" s="25" customFormat="1" ht="35.25" customHeight="1">
      <c r="A2" s="1015" t="s">
        <v>412</v>
      </c>
      <c r="B2" s="1015"/>
      <c r="C2" s="1015"/>
      <c r="D2" s="1015"/>
      <c r="E2" s="1015"/>
      <c r="F2" s="1015"/>
      <c r="G2" s="1015"/>
      <c r="H2" s="1015"/>
      <c r="I2" s="1015"/>
      <c r="J2" s="1015"/>
      <c r="K2" s="1015"/>
      <c r="L2" s="1015"/>
      <c r="M2" s="1015"/>
      <c r="N2" s="1015"/>
    </row>
    <row r="3" spans="1:14" s="25" customFormat="1" ht="15.75">
      <c r="A3" s="1016" t="s">
        <v>752</v>
      </c>
      <c r="B3" s="1016"/>
      <c r="C3" s="1016"/>
      <c r="D3" s="1016"/>
      <c r="E3" s="1016"/>
      <c r="F3" s="1016"/>
      <c r="G3" s="1016"/>
      <c r="H3" s="1016"/>
      <c r="I3" s="1016"/>
      <c r="J3" s="1016"/>
      <c r="K3" s="1016"/>
      <c r="L3" s="1016"/>
      <c r="M3" s="1016"/>
      <c r="N3" s="1016"/>
    </row>
    <row r="4" spans="1:14" s="25" customFormat="1" ht="15.75">
      <c r="A4" s="356"/>
      <c r="B4" s="356"/>
      <c r="C4" s="356"/>
      <c r="D4" s="356"/>
      <c r="E4" s="356"/>
      <c r="F4" s="356"/>
      <c r="G4" s="356"/>
      <c r="H4" s="356"/>
      <c r="I4" s="356"/>
      <c r="J4" s="356"/>
      <c r="K4" s="356"/>
      <c r="L4" s="356"/>
      <c r="M4" s="356"/>
      <c r="N4" s="356"/>
    </row>
    <row r="5" spans="1:14" ht="21.75" customHeight="1">
      <c r="A5" s="357" t="s">
        <v>36</v>
      </c>
      <c r="B5" s="358"/>
      <c r="C5" s="358"/>
      <c r="D5" s="358"/>
      <c r="E5" s="358"/>
      <c r="F5" s="358"/>
      <c r="G5" s="358"/>
      <c r="H5" s="358"/>
      <c r="I5" s="358"/>
      <c r="J5" s="358"/>
      <c r="K5" s="358"/>
      <c r="L5" s="358"/>
      <c r="M5" s="358"/>
      <c r="N5" s="360" t="s">
        <v>413</v>
      </c>
    </row>
    <row r="6" spans="1:14" ht="38.25" customHeight="1" thickBot="1">
      <c r="A6" s="1012" t="s">
        <v>31</v>
      </c>
      <c r="B6" s="1026" t="s">
        <v>566</v>
      </c>
      <c r="C6" s="1027"/>
      <c r="D6" s="1027"/>
      <c r="E6" s="1027"/>
      <c r="F6" s="1027"/>
      <c r="G6" s="1028"/>
      <c r="H6" s="1029" t="s">
        <v>567</v>
      </c>
      <c r="I6" s="1030"/>
      <c r="J6" s="1030"/>
      <c r="K6" s="1030"/>
      <c r="L6" s="1030"/>
      <c r="M6" s="1031"/>
      <c r="N6" s="1017" t="s">
        <v>29</v>
      </c>
    </row>
    <row r="7" spans="1:14" ht="34.5" customHeight="1" thickBot="1">
      <c r="A7" s="1021"/>
      <c r="B7" s="1023" t="s">
        <v>601</v>
      </c>
      <c r="C7" s="1024"/>
      <c r="D7" s="1025"/>
      <c r="E7" s="1023" t="s">
        <v>600</v>
      </c>
      <c r="F7" s="1024"/>
      <c r="G7" s="1025"/>
      <c r="H7" s="1023" t="s">
        <v>601</v>
      </c>
      <c r="I7" s="1024"/>
      <c r="J7" s="1025"/>
      <c r="K7" s="1023" t="s">
        <v>600</v>
      </c>
      <c r="L7" s="1024"/>
      <c r="M7" s="1025"/>
      <c r="N7" s="1022"/>
    </row>
    <row r="8" spans="1:14" ht="33" customHeight="1">
      <c r="A8" s="1014"/>
      <c r="B8" s="538" t="s">
        <v>1292</v>
      </c>
      <c r="C8" s="538" t="s">
        <v>1293</v>
      </c>
      <c r="D8" s="538" t="s">
        <v>461</v>
      </c>
      <c r="E8" s="538" t="s">
        <v>21</v>
      </c>
      <c r="F8" s="538" t="s">
        <v>22</v>
      </c>
      <c r="G8" s="538" t="s">
        <v>461</v>
      </c>
      <c r="H8" s="538" t="s">
        <v>1292</v>
      </c>
      <c r="I8" s="538" t="s">
        <v>1293</v>
      </c>
      <c r="J8" s="538" t="s">
        <v>461</v>
      </c>
      <c r="K8" s="538" t="s">
        <v>21</v>
      </c>
      <c r="L8" s="538" t="s">
        <v>22</v>
      </c>
      <c r="M8" s="538" t="s">
        <v>461</v>
      </c>
      <c r="N8" s="1019"/>
    </row>
    <row r="9" spans="1:14" ht="23.25" customHeight="1" thickBot="1">
      <c r="A9" s="556">
        <v>2014</v>
      </c>
      <c r="B9" s="141">
        <v>1</v>
      </c>
      <c r="C9" s="141">
        <v>3</v>
      </c>
      <c r="D9" s="142">
        <v>4</v>
      </c>
      <c r="E9" s="141">
        <v>1</v>
      </c>
      <c r="F9" s="141">
        <v>3</v>
      </c>
      <c r="G9" s="142">
        <v>4</v>
      </c>
      <c r="H9" s="141">
        <v>0</v>
      </c>
      <c r="I9" s="141">
        <v>0</v>
      </c>
      <c r="J9" s="142">
        <v>0</v>
      </c>
      <c r="K9" s="141">
        <v>0</v>
      </c>
      <c r="L9" s="141">
        <v>0</v>
      </c>
      <c r="M9" s="142">
        <v>0</v>
      </c>
      <c r="N9" s="552">
        <v>2014</v>
      </c>
    </row>
    <row r="10" spans="1:14" ht="23.25" customHeight="1" thickBot="1">
      <c r="A10" s="557">
        <v>2015</v>
      </c>
      <c r="B10" s="443">
        <v>2</v>
      </c>
      <c r="C10" s="443">
        <v>1</v>
      </c>
      <c r="D10" s="459">
        <v>3</v>
      </c>
      <c r="E10" s="443">
        <v>1</v>
      </c>
      <c r="F10" s="443">
        <v>2</v>
      </c>
      <c r="G10" s="459">
        <v>3</v>
      </c>
      <c r="H10" s="443">
        <v>0</v>
      </c>
      <c r="I10" s="443">
        <v>0</v>
      </c>
      <c r="J10" s="459">
        <v>0</v>
      </c>
      <c r="K10" s="443">
        <v>0</v>
      </c>
      <c r="L10" s="443">
        <v>0</v>
      </c>
      <c r="M10" s="459">
        <v>0</v>
      </c>
      <c r="N10" s="560">
        <v>2015</v>
      </c>
    </row>
    <row r="11" spans="1:14" s="95" customFormat="1" ht="23.25" customHeight="1" thickBot="1">
      <c r="A11" s="558">
        <v>2016</v>
      </c>
      <c r="B11" s="444">
        <v>1</v>
      </c>
      <c r="C11" s="444">
        <v>0</v>
      </c>
      <c r="D11" s="143">
        <v>1</v>
      </c>
      <c r="E11" s="444">
        <v>1</v>
      </c>
      <c r="F11" s="444">
        <v>0</v>
      </c>
      <c r="G11" s="143">
        <v>1</v>
      </c>
      <c r="H11" s="444">
        <v>2</v>
      </c>
      <c r="I11" s="444">
        <v>0</v>
      </c>
      <c r="J11" s="143">
        <v>2</v>
      </c>
      <c r="K11" s="444">
        <v>2</v>
      </c>
      <c r="L11" s="444">
        <v>0</v>
      </c>
      <c r="M11" s="143">
        <v>2</v>
      </c>
      <c r="N11" s="561">
        <v>2016</v>
      </c>
    </row>
    <row r="12" spans="1:14" ht="23.25" customHeight="1" thickBot="1">
      <c r="A12" s="557">
        <v>2017</v>
      </c>
      <c r="B12" s="443">
        <v>1</v>
      </c>
      <c r="C12" s="443">
        <v>1</v>
      </c>
      <c r="D12" s="459">
        <v>2</v>
      </c>
      <c r="E12" s="443">
        <v>1</v>
      </c>
      <c r="F12" s="443">
        <v>1</v>
      </c>
      <c r="G12" s="459">
        <v>2</v>
      </c>
      <c r="H12" s="443">
        <v>0</v>
      </c>
      <c r="I12" s="443">
        <v>0</v>
      </c>
      <c r="J12" s="459">
        <v>0</v>
      </c>
      <c r="K12" s="443">
        <v>0</v>
      </c>
      <c r="L12" s="443">
        <v>0</v>
      </c>
      <c r="M12" s="459">
        <v>0</v>
      </c>
      <c r="N12" s="560">
        <v>2017</v>
      </c>
    </row>
    <row r="13" spans="1:14" s="95" customFormat="1" ht="23.25" customHeight="1">
      <c r="A13" s="559">
        <v>2018</v>
      </c>
      <c r="B13" s="445">
        <v>2</v>
      </c>
      <c r="C13" s="445">
        <v>0</v>
      </c>
      <c r="D13" s="460">
        <v>2</v>
      </c>
      <c r="E13" s="445">
        <v>2</v>
      </c>
      <c r="F13" s="445">
        <v>0</v>
      </c>
      <c r="G13" s="460">
        <v>2</v>
      </c>
      <c r="H13" s="445">
        <v>0</v>
      </c>
      <c r="I13" s="445">
        <v>0</v>
      </c>
      <c r="J13" s="460">
        <v>0</v>
      </c>
      <c r="K13" s="445">
        <v>0</v>
      </c>
      <c r="L13" s="445">
        <v>0</v>
      </c>
      <c r="M13" s="460">
        <v>0</v>
      </c>
      <c r="N13" s="562">
        <v>2018</v>
      </c>
    </row>
  </sheetData>
  <mergeCells count="11">
    <mergeCell ref="A6:A8"/>
    <mergeCell ref="N6:N8"/>
    <mergeCell ref="A1:N1"/>
    <mergeCell ref="A2:N2"/>
    <mergeCell ref="A3:N3"/>
    <mergeCell ref="B7:D7"/>
    <mergeCell ref="E7:G7"/>
    <mergeCell ref="B6:G6"/>
    <mergeCell ref="H6:M6"/>
    <mergeCell ref="H7:J7"/>
    <mergeCell ref="K7:M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33:M33"/>
  <sheetViews>
    <sheetView rightToLeft="1" view="pageBreakPreview" topLeftCell="A4" zoomScaleNormal="100" zoomScaleSheetLayoutView="100" workbookViewId="0">
      <selection activeCell="M18" sqref="M18"/>
    </sheetView>
  </sheetViews>
  <sheetFormatPr defaultColWidth="9.140625" defaultRowHeight="12.75"/>
  <cols>
    <col min="1" max="16384" width="9.140625" style="1"/>
  </cols>
  <sheetData>
    <row r="33" spans="1:13" ht="15.75">
      <c r="A33" s="1038" t="s">
        <v>389</v>
      </c>
      <c r="B33" s="1038"/>
      <c r="C33" s="1038"/>
      <c r="D33" s="1038"/>
      <c r="E33" s="1038"/>
      <c r="F33" s="1038"/>
      <c r="G33" s="1038"/>
      <c r="H33" s="1038"/>
      <c r="I33" s="1038"/>
      <c r="J33" s="1038"/>
      <c r="K33" s="1038"/>
      <c r="L33" s="1038"/>
      <c r="M33" s="1038"/>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L21"/>
  <sheetViews>
    <sheetView rightToLeft="1" view="pageBreakPreview" topLeftCell="A4" zoomScaleNormal="75" zoomScaleSheetLayoutView="100" workbookViewId="0">
      <selection activeCell="M18" sqref="M18"/>
    </sheetView>
  </sheetViews>
  <sheetFormatPr defaultColWidth="9.140625" defaultRowHeight="12.75"/>
  <cols>
    <col min="1" max="1" width="20" style="88" customWidth="1"/>
    <col min="2" max="11" width="10.42578125" style="1" customWidth="1"/>
    <col min="12" max="12" width="20.5703125" style="88" customWidth="1"/>
    <col min="13" max="16384" width="9.140625" style="1"/>
  </cols>
  <sheetData>
    <row r="1" spans="1:12" s="2" customFormat="1" ht="24" customHeight="1">
      <c r="A1" s="1009" t="s">
        <v>23</v>
      </c>
      <c r="B1" s="1009"/>
      <c r="C1" s="1009"/>
      <c r="D1" s="1009"/>
      <c r="E1" s="1009"/>
      <c r="F1" s="1009"/>
      <c r="G1" s="1009"/>
      <c r="H1" s="1009"/>
      <c r="I1" s="1009"/>
      <c r="J1" s="1009"/>
      <c r="K1" s="1009"/>
      <c r="L1" s="1009"/>
    </row>
    <row r="2" spans="1:12" s="3" customFormat="1" ht="36" customHeight="1">
      <c r="A2" s="1036" t="s">
        <v>561</v>
      </c>
      <c r="B2" s="1036"/>
      <c r="C2" s="1036"/>
      <c r="D2" s="1036"/>
      <c r="E2" s="1036"/>
      <c r="F2" s="1036"/>
      <c r="G2" s="1036"/>
      <c r="H2" s="1036"/>
      <c r="I2" s="1036"/>
      <c r="J2" s="1036"/>
      <c r="K2" s="1036"/>
      <c r="L2" s="1036"/>
    </row>
    <row r="3" spans="1:12" s="2" customFormat="1" ht="15.75">
      <c r="A3" s="1037">
        <v>2019</v>
      </c>
      <c r="B3" s="1037"/>
      <c r="C3" s="1037"/>
      <c r="D3" s="1037"/>
      <c r="E3" s="1037"/>
      <c r="F3" s="1037"/>
      <c r="G3" s="1037"/>
      <c r="H3" s="1037"/>
      <c r="I3" s="1037"/>
      <c r="J3" s="1037"/>
      <c r="K3" s="1037"/>
      <c r="L3" s="1037"/>
    </row>
    <row r="4" spans="1:12" s="2" customFormat="1" ht="15.75">
      <c r="A4" s="1037"/>
      <c r="B4" s="1037"/>
      <c r="C4" s="1037"/>
      <c r="D4" s="1037"/>
      <c r="E4" s="1037"/>
      <c r="F4" s="1037"/>
      <c r="G4" s="1037"/>
      <c r="H4" s="1037"/>
      <c r="I4" s="1037"/>
      <c r="J4" s="1037"/>
      <c r="K4" s="1037"/>
      <c r="L4" s="1037"/>
    </row>
    <row r="5" spans="1:12" ht="15.75">
      <c r="A5" s="380" t="s">
        <v>490</v>
      </c>
      <c r="B5" s="377"/>
      <c r="C5" s="377"/>
      <c r="D5" s="377"/>
      <c r="E5" s="377"/>
      <c r="F5" s="377"/>
      <c r="G5" s="377"/>
      <c r="H5" s="377"/>
      <c r="I5" s="377"/>
      <c r="J5" s="377"/>
      <c r="K5" s="377"/>
      <c r="L5" s="381" t="s">
        <v>491</v>
      </c>
    </row>
    <row r="6" spans="1:12" ht="63.75" customHeight="1">
      <c r="A6" s="1207" t="s">
        <v>391</v>
      </c>
      <c r="B6" s="1211" t="s">
        <v>643</v>
      </c>
      <c r="C6" s="1212"/>
      <c r="D6" s="1211" t="s">
        <v>644</v>
      </c>
      <c r="E6" s="1212"/>
      <c r="F6" s="1211" t="s">
        <v>645</v>
      </c>
      <c r="G6" s="1212"/>
      <c r="H6" s="1211" t="s">
        <v>646</v>
      </c>
      <c r="I6" s="1212"/>
      <c r="J6" s="1213" t="s">
        <v>664</v>
      </c>
      <c r="K6" s="1214"/>
      <c r="L6" s="1209" t="s">
        <v>390</v>
      </c>
    </row>
    <row r="7" spans="1:12" ht="39.75">
      <c r="A7" s="1208"/>
      <c r="B7" s="179" t="s">
        <v>665</v>
      </c>
      <c r="C7" s="179" t="s">
        <v>666</v>
      </c>
      <c r="D7" s="179" t="s">
        <v>665</v>
      </c>
      <c r="E7" s="179" t="s">
        <v>666</v>
      </c>
      <c r="F7" s="179" t="s">
        <v>665</v>
      </c>
      <c r="G7" s="179" t="s">
        <v>666</v>
      </c>
      <c r="H7" s="179" t="s">
        <v>665</v>
      </c>
      <c r="I7" s="179" t="s">
        <v>666</v>
      </c>
      <c r="J7" s="179" t="s">
        <v>665</v>
      </c>
      <c r="K7" s="179" t="s">
        <v>666</v>
      </c>
      <c r="L7" s="1210"/>
    </row>
    <row r="8" spans="1:12" ht="29.25" customHeight="1" thickBot="1">
      <c r="A8" s="90" t="s">
        <v>324</v>
      </c>
      <c r="B8" s="22">
        <v>0</v>
      </c>
      <c r="C8" s="22">
        <v>178</v>
      </c>
      <c r="D8" s="22">
        <v>0</v>
      </c>
      <c r="E8" s="22">
        <v>18</v>
      </c>
      <c r="F8" s="22">
        <v>0</v>
      </c>
      <c r="G8" s="22">
        <v>5</v>
      </c>
      <c r="H8" s="22">
        <v>0</v>
      </c>
      <c r="I8" s="22">
        <v>72</v>
      </c>
      <c r="J8" s="21">
        <f>Table_Default__XLS_TAB_43[[#This Row],[CAT_1_SON_CNT]]+Table_Default__XLS_TAB_43[[#This Row],[CAT_2_SON_CNT]]+Table_Default__XLS_TAB_43[[#This Row],[CAT_3_SON_CNT]]+Table_Default__XLS_TAB_43[[#This Row],[CAT_4_SON_CNT]]</f>
        <v>0</v>
      </c>
      <c r="K8" s="21">
        <f>Table_Default__XLS_TAB_43[[#This Row],[CAT_1_CASE_CNT]]+Table_Default__XLS_TAB_43[[#This Row],[CAT_2_CASE_CNT]]+Table_Default__XLS_TAB_43[[#This Row],[CAT_3_CASE_CNT]]+Table_Default__XLS_TAB_43[[#This Row],[CAT_4_CASE_CNT]]</f>
        <v>273</v>
      </c>
      <c r="L8" s="89" t="s">
        <v>323</v>
      </c>
    </row>
    <row r="9" spans="1:12" ht="18.75" customHeight="1" thickBot="1">
      <c r="A9" s="125" t="s">
        <v>438</v>
      </c>
      <c r="B9" s="22">
        <v>0</v>
      </c>
      <c r="C9" s="22">
        <v>392</v>
      </c>
      <c r="D9" s="22">
        <v>1</v>
      </c>
      <c r="E9" s="22">
        <v>86</v>
      </c>
      <c r="F9" s="22">
        <v>0</v>
      </c>
      <c r="G9" s="22">
        <v>33</v>
      </c>
      <c r="H9" s="22">
        <v>3</v>
      </c>
      <c r="I9" s="22">
        <v>301</v>
      </c>
      <c r="J9" s="21">
        <f>Table_Default__XLS_TAB_43[[#This Row],[CAT_1_SON_CNT]]+Table_Default__XLS_TAB_43[[#This Row],[CAT_2_SON_CNT]]+Table_Default__XLS_TAB_43[[#This Row],[CAT_3_SON_CNT]]+Table_Default__XLS_TAB_43[[#This Row],[CAT_4_SON_CNT]]</f>
        <v>4</v>
      </c>
      <c r="K9" s="21">
        <f>Table_Default__XLS_TAB_43[[#This Row],[CAT_1_CASE_CNT]]+Table_Default__XLS_TAB_43[[#This Row],[CAT_2_CASE_CNT]]+Table_Default__XLS_TAB_43[[#This Row],[CAT_3_CASE_CNT]]+Table_Default__XLS_TAB_43[[#This Row],[CAT_4_CASE_CNT]]</f>
        <v>812</v>
      </c>
      <c r="L9" s="126" t="s">
        <v>438</v>
      </c>
    </row>
    <row r="10" spans="1:12" ht="18.75" customHeight="1" thickBot="1">
      <c r="A10" s="125" t="s">
        <v>439</v>
      </c>
      <c r="B10" s="22">
        <v>0</v>
      </c>
      <c r="C10" s="22">
        <v>55</v>
      </c>
      <c r="D10" s="22">
        <v>0</v>
      </c>
      <c r="E10" s="22">
        <v>8</v>
      </c>
      <c r="F10" s="22">
        <v>0</v>
      </c>
      <c r="G10" s="22">
        <v>1</v>
      </c>
      <c r="H10" s="22">
        <v>0</v>
      </c>
      <c r="I10" s="22">
        <v>41</v>
      </c>
      <c r="J10" s="21">
        <f>Table_Default__XLS_TAB_43[[#This Row],[CAT_1_SON_CNT]]+Table_Default__XLS_TAB_43[[#This Row],[CAT_2_SON_CNT]]+Table_Default__XLS_TAB_43[[#This Row],[CAT_3_SON_CNT]]+Table_Default__XLS_TAB_43[[#This Row],[CAT_4_SON_CNT]]</f>
        <v>0</v>
      </c>
      <c r="K10" s="21">
        <f>Table_Default__XLS_TAB_43[[#This Row],[CAT_1_CASE_CNT]]+Table_Default__XLS_TAB_43[[#This Row],[CAT_2_CASE_CNT]]+Table_Default__XLS_TAB_43[[#This Row],[CAT_3_CASE_CNT]]+Table_Default__XLS_TAB_43[[#This Row],[CAT_4_CASE_CNT]]</f>
        <v>105</v>
      </c>
      <c r="L10" s="126" t="s">
        <v>439</v>
      </c>
    </row>
    <row r="11" spans="1:12" ht="18.75" customHeight="1" thickBot="1">
      <c r="A11" s="125" t="s">
        <v>440</v>
      </c>
      <c r="B11" s="22">
        <v>0</v>
      </c>
      <c r="C11" s="22">
        <v>35</v>
      </c>
      <c r="D11" s="22">
        <v>0</v>
      </c>
      <c r="E11" s="22">
        <v>18</v>
      </c>
      <c r="F11" s="22">
        <v>0</v>
      </c>
      <c r="G11" s="22">
        <v>2</v>
      </c>
      <c r="H11" s="22">
        <v>0</v>
      </c>
      <c r="I11" s="22">
        <v>33</v>
      </c>
      <c r="J11" s="21">
        <f>Table_Default__XLS_TAB_43[[#This Row],[CAT_1_SON_CNT]]+Table_Default__XLS_TAB_43[[#This Row],[CAT_2_SON_CNT]]+Table_Default__XLS_TAB_43[[#This Row],[CAT_3_SON_CNT]]+Table_Default__XLS_TAB_43[[#This Row],[CAT_4_SON_CNT]]</f>
        <v>0</v>
      </c>
      <c r="K11" s="21">
        <f>Table_Default__XLS_TAB_43[[#This Row],[CAT_1_CASE_CNT]]+Table_Default__XLS_TAB_43[[#This Row],[CAT_2_CASE_CNT]]+Table_Default__XLS_TAB_43[[#This Row],[CAT_3_CASE_CNT]]+Table_Default__XLS_TAB_43[[#This Row],[CAT_4_CASE_CNT]]</f>
        <v>88</v>
      </c>
      <c r="L11" s="126" t="s">
        <v>440</v>
      </c>
    </row>
    <row r="12" spans="1:12" ht="18.75" customHeight="1" thickBot="1">
      <c r="A12" s="125" t="s">
        <v>428</v>
      </c>
      <c r="B12" s="22">
        <v>3</v>
      </c>
      <c r="C12" s="22">
        <v>34</v>
      </c>
      <c r="D12" s="22">
        <v>1</v>
      </c>
      <c r="E12" s="22">
        <v>11</v>
      </c>
      <c r="F12" s="22">
        <v>0</v>
      </c>
      <c r="G12" s="22">
        <v>2</v>
      </c>
      <c r="H12" s="22">
        <v>0</v>
      </c>
      <c r="I12" s="22">
        <v>23</v>
      </c>
      <c r="J12" s="21">
        <f>Table_Default__XLS_TAB_43[[#This Row],[CAT_1_SON_CNT]]+Table_Default__XLS_TAB_43[[#This Row],[CAT_2_SON_CNT]]+Table_Default__XLS_TAB_43[[#This Row],[CAT_3_SON_CNT]]+Table_Default__XLS_TAB_43[[#This Row],[CAT_4_SON_CNT]]</f>
        <v>4</v>
      </c>
      <c r="K12" s="21">
        <f>Table_Default__XLS_TAB_43[[#This Row],[CAT_1_CASE_CNT]]+Table_Default__XLS_TAB_43[[#This Row],[CAT_2_CASE_CNT]]+Table_Default__XLS_TAB_43[[#This Row],[CAT_3_CASE_CNT]]+Table_Default__XLS_TAB_43[[#This Row],[CAT_4_CASE_CNT]]</f>
        <v>70</v>
      </c>
      <c r="L12" s="126" t="s">
        <v>428</v>
      </c>
    </row>
    <row r="13" spans="1:12" ht="18.75" customHeight="1" thickBot="1">
      <c r="A13" s="125" t="s">
        <v>25</v>
      </c>
      <c r="B13" s="22">
        <v>1</v>
      </c>
      <c r="C13" s="22">
        <v>22</v>
      </c>
      <c r="D13" s="22">
        <v>0</v>
      </c>
      <c r="E13" s="22">
        <v>10</v>
      </c>
      <c r="F13" s="22">
        <v>0</v>
      </c>
      <c r="G13" s="22">
        <v>2</v>
      </c>
      <c r="H13" s="22">
        <v>2</v>
      </c>
      <c r="I13" s="22">
        <v>22</v>
      </c>
      <c r="J13" s="21">
        <f>Table_Default__XLS_TAB_43[[#This Row],[CAT_1_SON_CNT]]+Table_Default__XLS_TAB_43[[#This Row],[CAT_2_SON_CNT]]+Table_Default__XLS_TAB_43[[#This Row],[CAT_3_SON_CNT]]+Table_Default__XLS_TAB_43[[#This Row],[CAT_4_SON_CNT]]</f>
        <v>3</v>
      </c>
      <c r="K13" s="21">
        <f>Table_Default__XLS_TAB_43[[#This Row],[CAT_1_CASE_CNT]]+Table_Default__XLS_TAB_43[[#This Row],[CAT_2_CASE_CNT]]+Table_Default__XLS_TAB_43[[#This Row],[CAT_3_CASE_CNT]]+Table_Default__XLS_TAB_43[[#This Row],[CAT_4_CASE_CNT]]</f>
        <v>56</v>
      </c>
      <c r="L13" s="126" t="s">
        <v>25</v>
      </c>
    </row>
    <row r="14" spans="1:12" ht="18.75" customHeight="1" thickBot="1">
      <c r="A14" s="125" t="s">
        <v>322</v>
      </c>
      <c r="B14" s="22">
        <v>12</v>
      </c>
      <c r="C14" s="22">
        <v>76</v>
      </c>
      <c r="D14" s="22">
        <v>1</v>
      </c>
      <c r="E14" s="22">
        <v>28</v>
      </c>
      <c r="F14" s="22">
        <v>0</v>
      </c>
      <c r="G14" s="22">
        <v>13</v>
      </c>
      <c r="H14" s="22">
        <v>3</v>
      </c>
      <c r="I14" s="22">
        <v>73</v>
      </c>
      <c r="J14" s="21">
        <f>Table_Default__XLS_TAB_43[[#This Row],[CAT_1_SON_CNT]]+Table_Default__XLS_TAB_43[[#This Row],[CAT_2_SON_CNT]]+Table_Default__XLS_TAB_43[[#This Row],[CAT_3_SON_CNT]]+Table_Default__XLS_TAB_43[[#This Row],[CAT_4_SON_CNT]]</f>
        <v>16</v>
      </c>
      <c r="K14" s="21">
        <f>Table_Default__XLS_TAB_43[[#This Row],[CAT_1_CASE_CNT]]+Table_Default__XLS_TAB_43[[#This Row],[CAT_2_CASE_CNT]]+Table_Default__XLS_TAB_43[[#This Row],[CAT_3_CASE_CNT]]+Table_Default__XLS_TAB_43[[#This Row],[CAT_4_CASE_CNT]]</f>
        <v>190</v>
      </c>
      <c r="L14" s="126" t="s">
        <v>322</v>
      </c>
    </row>
    <row r="15" spans="1:12" ht="18.75" customHeight="1" thickBot="1">
      <c r="A15" s="125" t="s">
        <v>321</v>
      </c>
      <c r="B15" s="22">
        <v>7</v>
      </c>
      <c r="C15" s="22">
        <v>54</v>
      </c>
      <c r="D15" s="22">
        <v>0</v>
      </c>
      <c r="E15" s="22">
        <v>7</v>
      </c>
      <c r="F15" s="22">
        <v>0</v>
      </c>
      <c r="G15" s="22">
        <v>6</v>
      </c>
      <c r="H15" s="22">
        <v>6</v>
      </c>
      <c r="I15" s="22">
        <v>35</v>
      </c>
      <c r="J15" s="21">
        <f>Table_Default__XLS_TAB_43[[#This Row],[CAT_1_SON_CNT]]+Table_Default__XLS_TAB_43[[#This Row],[CAT_2_SON_CNT]]+Table_Default__XLS_TAB_43[[#This Row],[CAT_3_SON_CNT]]+Table_Default__XLS_TAB_43[[#This Row],[CAT_4_SON_CNT]]</f>
        <v>13</v>
      </c>
      <c r="K15" s="21">
        <f>Table_Default__XLS_TAB_43[[#This Row],[CAT_1_CASE_CNT]]+Table_Default__XLS_TAB_43[[#This Row],[CAT_2_CASE_CNT]]+Table_Default__XLS_TAB_43[[#This Row],[CAT_3_CASE_CNT]]+Table_Default__XLS_TAB_43[[#This Row],[CAT_4_CASE_CNT]]</f>
        <v>102</v>
      </c>
      <c r="L15" s="126" t="s">
        <v>321</v>
      </c>
    </row>
    <row r="16" spans="1:12" ht="18.75" customHeight="1" thickBot="1">
      <c r="A16" s="125" t="s">
        <v>134</v>
      </c>
      <c r="B16" s="22">
        <v>5</v>
      </c>
      <c r="C16" s="22">
        <v>32</v>
      </c>
      <c r="D16" s="22">
        <v>0</v>
      </c>
      <c r="E16" s="22">
        <v>6</v>
      </c>
      <c r="F16" s="22">
        <v>0</v>
      </c>
      <c r="G16" s="22">
        <v>2</v>
      </c>
      <c r="H16" s="22">
        <v>7</v>
      </c>
      <c r="I16" s="22">
        <v>28</v>
      </c>
      <c r="J16" s="21">
        <f>Table_Default__XLS_TAB_43[[#This Row],[CAT_1_SON_CNT]]+Table_Default__XLS_TAB_43[[#This Row],[CAT_2_SON_CNT]]+Table_Default__XLS_TAB_43[[#This Row],[CAT_3_SON_CNT]]+Table_Default__XLS_TAB_43[[#This Row],[CAT_4_SON_CNT]]</f>
        <v>12</v>
      </c>
      <c r="K16" s="21">
        <f>Table_Default__XLS_TAB_43[[#This Row],[CAT_1_CASE_CNT]]+Table_Default__XLS_TAB_43[[#This Row],[CAT_2_CASE_CNT]]+Table_Default__XLS_TAB_43[[#This Row],[CAT_3_CASE_CNT]]+Table_Default__XLS_TAB_43[[#This Row],[CAT_4_CASE_CNT]]</f>
        <v>68</v>
      </c>
      <c r="L16" s="126" t="s">
        <v>134</v>
      </c>
    </row>
    <row r="17" spans="1:12" ht="18.75" customHeight="1" thickBot="1">
      <c r="A17" s="125" t="s">
        <v>128</v>
      </c>
      <c r="B17" s="22">
        <v>7</v>
      </c>
      <c r="C17" s="22">
        <v>18</v>
      </c>
      <c r="D17" s="22">
        <v>0</v>
      </c>
      <c r="E17" s="22">
        <v>0</v>
      </c>
      <c r="F17" s="22">
        <v>0</v>
      </c>
      <c r="G17" s="22">
        <v>0</v>
      </c>
      <c r="H17" s="22">
        <v>3</v>
      </c>
      <c r="I17" s="22">
        <v>7</v>
      </c>
      <c r="J17" s="21">
        <f>Table_Default__XLS_TAB_43[[#This Row],[CAT_1_SON_CNT]]+Table_Default__XLS_TAB_43[[#This Row],[CAT_2_SON_CNT]]+Table_Default__XLS_TAB_43[[#This Row],[CAT_3_SON_CNT]]+Table_Default__XLS_TAB_43[[#This Row],[CAT_4_SON_CNT]]</f>
        <v>10</v>
      </c>
      <c r="K17" s="21">
        <f>Table_Default__XLS_TAB_43[[#This Row],[CAT_1_CASE_CNT]]+Table_Default__XLS_TAB_43[[#This Row],[CAT_2_CASE_CNT]]+Table_Default__XLS_TAB_43[[#This Row],[CAT_3_CASE_CNT]]+Table_Default__XLS_TAB_43[[#This Row],[CAT_4_CASE_CNT]]</f>
        <v>25</v>
      </c>
      <c r="L17" s="126" t="s">
        <v>128</v>
      </c>
    </row>
    <row r="18" spans="1:12" s="95" customFormat="1" ht="18.75" customHeight="1" thickBot="1">
      <c r="A18" s="125" t="s">
        <v>441</v>
      </c>
      <c r="B18" s="22">
        <v>7</v>
      </c>
      <c r="C18" s="22">
        <v>25</v>
      </c>
      <c r="D18" s="22">
        <v>0</v>
      </c>
      <c r="E18" s="22">
        <v>0</v>
      </c>
      <c r="F18" s="22">
        <v>0</v>
      </c>
      <c r="G18" s="22">
        <v>2</v>
      </c>
      <c r="H18" s="22">
        <v>0</v>
      </c>
      <c r="I18" s="22">
        <v>14</v>
      </c>
      <c r="J18" s="21">
        <f>Table_Default__XLS_TAB_43[[#This Row],[CAT_1_SON_CNT]]+Table_Default__XLS_TAB_43[[#This Row],[CAT_2_SON_CNT]]+Table_Default__XLS_TAB_43[[#This Row],[CAT_3_SON_CNT]]+Table_Default__XLS_TAB_43[[#This Row],[CAT_4_SON_CNT]]</f>
        <v>7</v>
      </c>
      <c r="K18" s="21">
        <f>Table_Default__XLS_TAB_43[[#This Row],[CAT_1_CASE_CNT]]+Table_Default__XLS_TAB_43[[#This Row],[CAT_2_CASE_CNT]]+Table_Default__XLS_TAB_43[[#This Row],[CAT_3_CASE_CNT]]+Table_Default__XLS_TAB_43[[#This Row],[CAT_4_CASE_CNT]]</f>
        <v>41</v>
      </c>
      <c r="L18" s="126" t="s">
        <v>441</v>
      </c>
    </row>
    <row r="19" spans="1:12" s="122" customFormat="1" ht="18.75" customHeight="1" thickBot="1">
      <c r="A19" s="127" t="s">
        <v>15</v>
      </c>
      <c r="B19" s="457">
        <v>0</v>
      </c>
      <c r="C19" s="457">
        <v>2</v>
      </c>
      <c r="D19" s="457">
        <v>0</v>
      </c>
      <c r="E19" s="457">
        <v>0</v>
      </c>
      <c r="F19" s="457">
        <v>0</v>
      </c>
      <c r="G19" s="457">
        <v>1</v>
      </c>
      <c r="H19" s="457">
        <v>0</v>
      </c>
      <c r="I19" s="457">
        <v>0</v>
      </c>
      <c r="J19" s="21">
        <f>Table_Default__XLS_TAB_43[[#This Row],[CAT_1_SON_CNT]]+Table_Default__XLS_TAB_43[[#This Row],[CAT_2_SON_CNT]]+Table_Default__XLS_TAB_43[[#This Row],[CAT_3_SON_CNT]]+Table_Default__XLS_TAB_43[[#This Row],[CAT_4_SON_CNT]]</f>
        <v>0</v>
      </c>
      <c r="K19" s="21">
        <f>Table_Default__XLS_TAB_43[[#This Row],[CAT_1_CASE_CNT]]+Table_Default__XLS_TAB_43[[#This Row],[CAT_2_CASE_CNT]]+Table_Default__XLS_TAB_43[[#This Row],[CAT_3_CASE_CNT]]+Table_Default__XLS_TAB_43[[#This Row],[CAT_4_CASE_CNT]]</f>
        <v>3</v>
      </c>
      <c r="L19" s="128" t="s">
        <v>16</v>
      </c>
    </row>
    <row r="20" spans="1:12" ht="18.75" customHeight="1">
      <c r="A20" s="295" t="s">
        <v>192</v>
      </c>
      <c r="B20" s="296">
        <f t="shared" ref="B20:K20" si="0">SUM(B8:B19)</f>
        <v>42</v>
      </c>
      <c r="C20" s="296">
        <f t="shared" si="0"/>
        <v>923</v>
      </c>
      <c r="D20" s="296">
        <f t="shared" si="0"/>
        <v>3</v>
      </c>
      <c r="E20" s="296">
        <f t="shared" si="0"/>
        <v>192</v>
      </c>
      <c r="F20" s="296">
        <f t="shared" si="0"/>
        <v>0</v>
      </c>
      <c r="G20" s="296">
        <f t="shared" si="0"/>
        <v>69</v>
      </c>
      <c r="H20" s="296">
        <f t="shared" si="0"/>
        <v>24</v>
      </c>
      <c r="I20" s="296">
        <f t="shared" si="0"/>
        <v>649</v>
      </c>
      <c r="J20" s="296">
        <f t="shared" si="0"/>
        <v>69</v>
      </c>
      <c r="K20" s="296">
        <f t="shared" si="0"/>
        <v>1833</v>
      </c>
      <c r="L20" s="545" t="s">
        <v>18</v>
      </c>
    </row>
    <row r="21" spans="1:12" ht="14.25">
      <c r="A21" s="774" t="s">
        <v>531</v>
      </c>
      <c r="L21" s="705" t="s">
        <v>534</v>
      </c>
    </row>
  </sheetData>
  <mergeCells count="11">
    <mergeCell ref="A1:L1"/>
    <mergeCell ref="A2:L2"/>
    <mergeCell ref="A3:L3"/>
    <mergeCell ref="A4:L4"/>
    <mergeCell ref="A6:A7"/>
    <mergeCell ref="L6:L7"/>
    <mergeCell ref="B6:C6"/>
    <mergeCell ref="D6:E6"/>
    <mergeCell ref="F6:G6"/>
    <mergeCell ref="H6:I6"/>
    <mergeCell ref="J6:K6"/>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E15"/>
  <sheetViews>
    <sheetView rightToLeft="1" view="pageBreakPreview" zoomScaleNormal="75" zoomScaleSheetLayoutView="100" workbookViewId="0">
      <selection activeCell="A15" sqref="A15"/>
    </sheetView>
  </sheetViews>
  <sheetFormatPr defaultColWidth="9.140625" defaultRowHeight="12.75"/>
  <cols>
    <col min="1" max="1" width="28.42578125" style="88" customWidth="1"/>
    <col min="2" max="4" width="21.42578125" style="1" customWidth="1"/>
    <col min="5" max="5" width="28.42578125" style="88" customWidth="1"/>
    <col min="6" max="16384" width="9.140625" style="1"/>
  </cols>
  <sheetData>
    <row r="1" spans="1:5" s="2" customFormat="1" ht="24" customHeight="1">
      <c r="A1" s="1009" t="s">
        <v>463</v>
      </c>
      <c r="B1" s="1009"/>
      <c r="C1" s="1009"/>
      <c r="D1" s="1009"/>
      <c r="E1" s="1009"/>
    </row>
    <row r="2" spans="1:5" s="3" customFormat="1" ht="36.75" customHeight="1">
      <c r="A2" s="1036" t="s">
        <v>577</v>
      </c>
      <c r="B2" s="1036"/>
      <c r="C2" s="1036"/>
      <c r="D2" s="1036"/>
      <c r="E2" s="1036"/>
    </row>
    <row r="3" spans="1:5" s="2" customFormat="1" ht="15.75">
      <c r="A3" s="1037">
        <v>2019</v>
      </c>
      <c r="B3" s="1037"/>
      <c r="C3" s="1037"/>
      <c r="D3" s="1037"/>
      <c r="E3" s="1037"/>
    </row>
    <row r="4" spans="1:5" s="2" customFormat="1" ht="15.75">
      <c r="A4" s="1037"/>
      <c r="B4" s="1037"/>
      <c r="C4" s="1037"/>
      <c r="D4" s="1037"/>
      <c r="E4" s="1037"/>
    </row>
    <row r="5" spans="1:5" ht="15.75">
      <c r="A5" s="380" t="s">
        <v>492</v>
      </c>
      <c r="B5" s="377"/>
      <c r="C5" s="377"/>
      <c r="D5" s="377"/>
      <c r="E5" s="381" t="s">
        <v>493</v>
      </c>
    </row>
    <row r="6" spans="1:5" ht="63.75" customHeight="1">
      <c r="A6" s="564" t="s">
        <v>281</v>
      </c>
      <c r="B6" s="566" t="s">
        <v>715</v>
      </c>
      <c r="C6" s="566" t="s">
        <v>716</v>
      </c>
      <c r="D6" s="566" t="s">
        <v>717</v>
      </c>
      <c r="E6" s="565" t="s">
        <v>462</v>
      </c>
    </row>
    <row r="7" spans="1:5" ht="21" customHeight="1" thickBot="1">
      <c r="A7" s="763" t="s">
        <v>557</v>
      </c>
      <c r="B7" s="598">
        <v>0</v>
      </c>
      <c r="C7" s="598">
        <v>0</v>
      </c>
      <c r="D7" s="219">
        <f>SUM(Table_Default__XLS_TAB_27_284[[#This Row],[QATARI_SON_CNT]:[NON_QATARI_SON_CNT]])</f>
        <v>0</v>
      </c>
      <c r="E7" s="597" t="s">
        <v>557</v>
      </c>
    </row>
    <row r="8" spans="1:5" ht="21" customHeight="1" thickBot="1">
      <c r="A8" s="764" t="s">
        <v>439</v>
      </c>
      <c r="B8" s="755">
        <v>2</v>
      </c>
      <c r="C8" s="755">
        <v>4</v>
      </c>
      <c r="D8" s="756">
        <f>SUM(Table_Default__XLS_TAB_27_284[[#This Row],[QATARI_SON_CNT]:[NON_QATARI_SON_CNT]])</f>
        <v>6</v>
      </c>
      <c r="E8" s="765" t="s">
        <v>439</v>
      </c>
    </row>
    <row r="9" spans="1:5" ht="21" customHeight="1" thickBot="1">
      <c r="A9" s="766" t="s">
        <v>440</v>
      </c>
      <c r="B9" s="758">
        <v>2</v>
      </c>
      <c r="C9" s="758">
        <v>6</v>
      </c>
      <c r="D9" s="759">
        <f>SUM(Table_Default__XLS_TAB_27_284[[#This Row],[QATARI_SON_CNT]:[NON_QATARI_SON_CNT]])</f>
        <v>8</v>
      </c>
      <c r="E9" s="767" t="s">
        <v>440</v>
      </c>
    </row>
    <row r="10" spans="1:5" ht="21" customHeight="1" thickBot="1">
      <c r="A10" s="764" t="s">
        <v>428</v>
      </c>
      <c r="B10" s="755">
        <v>6</v>
      </c>
      <c r="C10" s="755">
        <v>9</v>
      </c>
      <c r="D10" s="756">
        <f>SUM(Table_Default__XLS_TAB_27_284[[#This Row],[QATARI_SON_CNT]:[NON_QATARI_SON_CNT]])</f>
        <v>15</v>
      </c>
      <c r="E10" s="765" t="s">
        <v>428</v>
      </c>
    </row>
    <row r="11" spans="1:5" ht="21" customHeight="1" thickBot="1">
      <c r="A11" s="766" t="s">
        <v>25</v>
      </c>
      <c r="B11" s="758">
        <v>0</v>
      </c>
      <c r="C11" s="758">
        <v>8</v>
      </c>
      <c r="D11" s="759">
        <f>SUM(Table_Default__XLS_TAB_27_284[[#This Row],[QATARI_SON_CNT]:[NON_QATARI_SON_CNT]])</f>
        <v>8</v>
      </c>
      <c r="E11" s="767" t="s">
        <v>25</v>
      </c>
    </row>
    <row r="12" spans="1:5" ht="21" customHeight="1" thickBot="1">
      <c r="A12" s="764" t="s">
        <v>429</v>
      </c>
      <c r="B12" s="755">
        <v>5</v>
      </c>
      <c r="C12" s="755">
        <v>0</v>
      </c>
      <c r="D12" s="756">
        <f>SUM(Table_Default__XLS_TAB_27_284[[#This Row],[QATARI_SON_CNT]:[NON_QATARI_SON_CNT]])</f>
        <v>5</v>
      </c>
      <c r="E12" s="765" t="s">
        <v>429</v>
      </c>
    </row>
    <row r="13" spans="1:5" ht="21" customHeight="1">
      <c r="A13" s="768" t="s">
        <v>558</v>
      </c>
      <c r="B13" s="761">
        <v>27</v>
      </c>
      <c r="C13" s="761">
        <v>0</v>
      </c>
      <c r="D13" s="762">
        <f>SUM(Table_Default__XLS_TAB_27_284[[#This Row],[QATARI_SON_CNT]:[NON_QATARI_SON_CNT]])</f>
        <v>27</v>
      </c>
      <c r="E13" s="769" t="s">
        <v>558</v>
      </c>
    </row>
    <row r="14" spans="1:5" ht="21" customHeight="1">
      <c r="A14" s="593" t="s">
        <v>192</v>
      </c>
      <c r="B14" s="734">
        <f>SUM(B7:B13)</f>
        <v>42</v>
      </c>
      <c r="C14" s="734">
        <f>SUM(C7:C13)</f>
        <v>27</v>
      </c>
      <c r="D14" s="734">
        <f>SUM(D7:D13)</f>
        <v>69</v>
      </c>
      <c r="E14" s="594" t="s">
        <v>18</v>
      </c>
    </row>
    <row r="15" spans="1:5" ht="14.25">
      <c r="A15" s="773" t="s">
        <v>698</v>
      </c>
      <c r="E15" s="752" t="s">
        <v>699</v>
      </c>
    </row>
  </sheetData>
  <mergeCells count="4">
    <mergeCell ref="A4:E4"/>
    <mergeCell ref="A1:E1"/>
    <mergeCell ref="A2:E2"/>
    <mergeCell ref="A3:E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E15"/>
  <sheetViews>
    <sheetView rightToLeft="1" view="pageBreakPreview" zoomScaleNormal="75" zoomScaleSheetLayoutView="100" workbookViewId="0">
      <selection activeCell="M18" sqref="M18"/>
    </sheetView>
  </sheetViews>
  <sheetFormatPr defaultColWidth="9.140625" defaultRowHeight="12.75"/>
  <cols>
    <col min="1" max="1" width="24.42578125" style="88" customWidth="1"/>
    <col min="2" max="4" width="22.85546875" style="1" customWidth="1"/>
    <col min="5" max="5" width="24.42578125" style="88" customWidth="1"/>
    <col min="6" max="16384" width="9.140625" style="1"/>
  </cols>
  <sheetData>
    <row r="1" spans="1:5" s="2" customFormat="1" ht="24" customHeight="1">
      <c r="A1" s="1009" t="s">
        <v>464</v>
      </c>
      <c r="B1" s="1009"/>
      <c r="C1" s="1009"/>
      <c r="D1" s="1009"/>
      <c r="E1" s="1009"/>
    </row>
    <row r="2" spans="1:5" s="3" customFormat="1" ht="39.75" customHeight="1">
      <c r="A2" s="1215" t="s">
        <v>578</v>
      </c>
      <c r="B2" s="1215"/>
      <c r="C2" s="1215"/>
      <c r="D2" s="1215"/>
      <c r="E2" s="1215"/>
    </row>
    <row r="3" spans="1:5" s="2" customFormat="1" ht="15.75">
      <c r="A3" s="1037">
        <v>2019</v>
      </c>
      <c r="B3" s="1037"/>
      <c r="C3" s="1037"/>
      <c r="D3" s="1037"/>
      <c r="E3" s="1037"/>
    </row>
    <row r="4" spans="1:5" s="2" customFormat="1" ht="15.75">
      <c r="A4" s="1037"/>
      <c r="B4" s="1037"/>
      <c r="C4" s="1037"/>
      <c r="D4" s="1037"/>
      <c r="E4" s="1037"/>
    </row>
    <row r="5" spans="1:5" ht="15.75">
      <c r="A5" s="380" t="s">
        <v>494</v>
      </c>
      <c r="B5" s="377"/>
      <c r="C5" s="377"/>
      <c r="D5" s="377"/>
      <c r="E5" s="381" t="s">
        <v>495</v>
      </c>
    </row>
    <row r="6" spans="1:5" ht="63.75" customHeight="1">
      <c r="A6" s="564" t="s">
        <v>281</v>
      </c>
      <c r="B6" s="566" t="s">
        <v>715</v>
      </c>
      <c r="C6" s="566" t="s">
        <v>716</v>
      </c>
      <c r="D6" s="566" t="s">
        <v>717</v>
      </c>
      <c r="E6" s="565" t="s">
        <v>462</v>
      </c>
    </row>
    <row r="7" spans="1:5" ht="21" customHeight="1" thickBot="1">
      <c r="A7" s="753" t="s">
        <v>557</v>
      </c>
      <c r="B7" s="598">
        <v>0</v>
      </c>
      <c r="C7" s="598">
        <v>0</v>
      </c>
      <c r="D7" s="219">
        <f>Table_Default__XLS_TAB_48[[#This Row],[QATARI_SON_CNT]]+Table_Default__XLS_TAB_48[[#This Row],[NON_QATARI_SON_CNT]]</f>
        <v>0</v>
      </c>
      <c r="E7" s="596" t="s">
        <v>557</v>
      </c>
    </row>
    <row r="8" spans="1:5" ht="21" customHeight="1" thickBot="1">
      <c r="A8" s="754" t="s">
        <v>439</v>
      </c>
      <c r="B8" s="755">
        <v>48</v>
      </c>
      <c r="C8" s="755">
        <v>58</v>
      </c>
      <c r="D8" s="756">
        <f>Table_Default__XLS_TAB_48[[#This Row],[QATARI_SON_CNT]]+Table_Default__XLS_TAB_48[[#This Row],[NON_QATARI_SON_CNT]]</f>
        <v>106</v>
      </c>
      <c r="E8" s="595" t="s">
        <v>439</v>
      </c>
    </row>
    <row r="9" spans="1:5" ht="21" customHeight="1" thickBot="1">
      <c r="A9" s="757" t="s">
        <v>440</v>
      </c>
      <c r="B9" s="758">
        <v>100</v>
      </c>
      <c r="C9" s="758">
        <v>110</v>
      </c>
      <c r="D9" s="759">
        <f>Table_Default__XLS_TAB_48[[#This Row],[QATARI_SON_CNT]]+Table_Default__XLS_TAB_48[[#This Row],[NON_QATARI_SON_CNT]]</f>
        <v>210</v>
      </c>
      <c r="E9" s="596" t="s">
        <v>440</v>
      </c>
    </row>
    <row r="10" spans="1:5" ht="21" customHeight="1" thickBot="1">
      <c r="A10" s="754" t="s">
        <v>428</v>
      </c>
      <c r="B10" s="755">
        <v>123</v>
      </c>
      <c r="C10" s="755">
        <v>57</v>
      </c>
      <c r="D10" s="756">
        <f>Table_Default__XLS_TAB_48[[#This Row],[QATARI_SON_CNT]]+Table_Default__XLS_TAB_48[[#This Row],[NON_QATARI_SON_CNT]]</f>
        <v>180</v>
      </c>
      <c r="E10" s="595" t="s">
        <v>428</v>
      </c>
    </row>
    <row r="11" spans="1:5" ht="21" customHeight="1" thickBot="1">
      <c r="A11" s="757" t="s">
        <v>25</v>
      </c>
      <c r="B11" s="758">
        <v>136</v>
      </c>
      <c r="C11" s="758">
        <v>68</v>
      </c>
      <c r="D11" s="759">
        <f>Table_Default__XLS_TAB_48[[#This Row],[QATARI_SON_CNT]]+Table_Default__XLS_TAB_48[[#This Row],[NON_QATARI_SON_CNT]]</f>
        <v>204</v>
      </c>
      <c r="E11" s="599" t="s">
        <v>25</v>
      </c>
    </row>
    <row r="12" spans="1:5" ht="21" customHeight="1" thickBot="1">
      <c r="A12" s="754" t="s">
        <v>429</v>
      </c>
      <c r="B12" s="755">
        <v>95</v>
      </c>
      <c r="C12" s="755">
        <v>50</v>
      </c>
      <c r="D12" s="756">
        <f>Table_Default__XLS_TAB_48[[#This Row],[QATARI_SON_CNT]]+Table_Default__XLS_TAB_48[[#This Row],[NON_QATARI_SON_CNT]]</f>
        <v>145</v>
      </c>
      <c r="E12" s="592" t="s">
        <v>429</v>
      </c>
    </row>
    <row r="13" spans="1:5" ht="21" customHeight="1">
      <c r="A13" s="760" t="s">
        <v>558</v>
      </c>
      <c r="B13" s="761">
        <v>162</v>
      </c>
      <c r="C13" s="761">
        <v>6</v>
      </c>
      <c r="D13" s="762">
        <f>Table_Default__XLS_TAB_48[[#This Row],[QATARI_SON_CNT]]+Table_Default__XLS_TAB_48[[#This Row],[NON_QATARI_SON_CNT]]</f>
        <v>168</v>
      </c>
      <c r="E13" s="599" t="s">
        <v>558</v>
      </c>
    </row>
    <row r="14" spans="1:5" ht="21" customHeight="1">
      <c r="A14" s="593" t="s">
        <v>192</v>
      </c>
      <c r="B14" s="734">
        <f>SUM(B7:B13)</f>
        <v>664</v>
      </c>
      <c r="C14" s="734">
        <f>SUM(C7:C13)</f>
        <v>349</v>
      </c>
      <c r="D14" s="734">
        <f>SUM(D7:D13)</f>
        <v>1013</v>
      </c>
      <c r="E14" s="594" t="s">
        <v>18</v>
      </c>
    </row>
    <row r="15" spans="1:5" ht="14.25">
      <c r="A15" s="773" t="s">
        <v>1256</v>
      </c>
      <c r="E15" s="752" t="s">
        <v>700</v>
      </c>
    </row>
  </sheetData>
  <mergeCells count="4">
    <mergeCell ref="A4:E4"/>
    <mergeCell ref="A1:E1"/>
    <mergeCell ref="A2:E2"/>
    <mergeCell ref="A3:E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
  <sheetViews>
    <sheetView rightToLeft="1" view="pageBreakPreview" zoomScale="60" zoomScaleNormal="100" workbookViewId="0">
      <selection activeCell="M18" sqref="M18"/>
    </sheetView>
  </sheetViews>
  <sheetFormatPr defaultColWidth="9.140625" defaultRowHeight="12.75"/>
  <cols>
    <col min="1" max="1" width="52.570312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Z30"/>
  <sheetViews>
    <sheetView rightToLeft="1" view="pageBreakPreview" zoomScaleNormal="100" zoomScaleSheetLayoutView="100" workbookViewId="0">
      <selection activeCell="M18" sqref="M18"/>
    </sheetView>
  </sheetViews>
  <sheetFormatPr defaultRowHeight="15"/>
  <cols>
    <col min="3" max="3" width="20.42578125" customWidth="1"/>
    <col min="5" max="5" width="3.140625" customWidth="1"/>
    <col min="6" max="6" width="25.5703125" customWidth="1"/>
    <col min="7" max="7" width="16.5703125" customWidth="1"/>
  </cols>
  <sheetData>
    <row r="1" spans="1:26" s="720" customFormat="1" ht="69" customHeight="1">
      <c r="A1" s="1221" t="s">
        <v>1012</v>
      </c>
      <c r="B1" s="1222"/>
      <c r="C1" s="1222"/>
      <c r="D1" s="1222"/>
      <c r="E1" s="1222"/>
      <c r="F1" s="1222"/>
      <c r="G1" s="1222"/>
      <c r="H1" s="1222"/>
      <c r="I1" s="721"/>
      <c r="J1" s="721"/>
      <c r="K1" s="721"/>
      <c r="L1" s="721"/>
      <c r="M1" s="721"/>
      <c r="N1" s="721"/>
      <c r="O1" s="721"/>
      <c r="P1" s="721"/>
      <c r="Q1" s="721"/>
      <c r="R1" s="721"/>
      <c r="S1" s="721"/>
      <c r="T1" s="721"/>
      <c r="U1" s="721"/>
      <c r="V1" s="721"/>
      <c r="W1" s="721"/>
      <c r="X1" s="721"/>
      <c r="Y1" s="721"/>
      <c r="Z1" s="721"/>
    </row>
    <row r="4" spans="1:26" ht="15.75" thickBot="1"/>
    <row r="5" spans="1:26" ht="15.75" thickBot="1">
      <c r="A5" s="1216" t="s">
        <v>1011</v>
      </c>
      <c r="B5" s="1216"/>
      <c r="C5" s="719" t="s">
        <v>1010</v>
      </c>
      <c r="F5" s="718" t="s">
        <v>92</v>
      </c>
      <c r="G5" s="1223" t="s">
        <v>1009</v>
      </c>
      <c r="H5" s="1223"/>
    </row>
    <row r="6" spans="1:26" ht="15.75" thickBot="1">
      <c r="A6" s="1216"/>
      <c r="B6" s="1216"/>
      <c r="C6" s="719" t="s">
        <v>1008</v>
      </c>
      <c r="F6" s="718" t="s">
        <v>29</v>
      </c>
      <c r="G6" s="1223"/>
      <c r="H6" s="1223"/>
    </row>
    <row r="7" spans="1:26" ht="15.75" customHeight="1" thickBot="1">
      <c r="A7" s="1216" t="s">
        <v>1007</v>
      </c>
      <c r="B7" s="1216"/>
      <c r="C7" s="1216"/>
      <c r="F7" s="1223" t="s">
        <v>1006</v>
      </c>
      <c r="G7" s="1223"/>
      <c r="H7" s="1223"/>
    </row>
    <row r="8" spans="1:26" ht="26.25" thickBot="1">
      <c r="A8" s="1216" t="s">
        <v>1005</v>
      </c>
      <c r="B8" s="1216"/>
      <c r="C8" s="714" t="s">
        <v>1004</v>
      </c>
      <c r="F8" s="713" t="s">
        <v>1003</v>
      </c>
      <c r="G8" s="1223" t="s">
        <v>1002</v>
      </c>
      <c r="H8" s="1223"/>
    </row>
    <row r="9" spans="1:26" ht="15.75" thickBot="1">
      <c r="A9" s="1216" t="s">
        <v>1001</v>
      </c>
      <c r="B9" s="1218" t="s">
        <v>1000</v>
      </c>
      <c r="C9" s="1218"/>
      <c r="F9" s="1217" t="s">
        <v>999</v>
      </c>
      <c r="G9" s="1217"/>
      <c r="H9" s="1224" t="s">
        <v>998</v>
      </c>
    </row>
    <row r="10" spans="1:26" ht="15.75" thickBot="1">
      <c r="A10" s="1216"/>
      <c r="B10" s="1218" t="s">
        <v>987</v>
      </c>
      <c r="C10" s="1218"/>
      <c r="F10" s="1217" t="s">
        <v>986</v>
      </c>
      <c r="G10" s="1217"/>
      <c r="H10" s="1224"/>
    </row>
    <row r="11" spans="1:26" ht="15.75" thickBot="1">
      <c r="A11" s="1216"/>
      <c r="B11" s="1218" t="s">
        <v>985</v>
      </c>
      <c r="C11" s="1218"/>
      <c r="F11" s="1217" t="s">
        <v>984</v>
      </c>
      <c r="G11" s="1217"/>
      <c r="H11" s="1224"/>
    </row>
    <row r="12" spans="1:26" ht="15.75" thickBot="1">
      <c r="A12" s="1216"/>
      <c r="B12" s="1218" t="s">
        <v>983</v>
      </c>
      <c r="C12" s="1218"/>
      <c r="F12" s="1217" t="s">
        <v>982</v>
      </c>
      <c r="G12" s="1217"/>
      <c r="H12" s="1224"/>
    </row>
    <row r="13" spans="1:26" ht="51.75" thickBot="1">
      <c r="A13" s="1216"/>
      <c r="B13" s="715" t="s">
        <v>981</v>
      </c>
      <c r="C13" s="714" t="s">
        <v>997</v>
      </c>
      <c r="F13" s="713" t="s">
        <v>996</v>
      </c>
      <c r="G13" s="712" t="s">
        <v>978</v>
      </c>
      <c r="H13" s="1224"/>
    </row>
    <row r="14" spans="1:26" ht="15.75" thickBot="1">
      <c r="A14" s="1216"/>
      <c r="B14" s="1216" t="s">
        <v>995</v>
      </c>
      <c r="C14" s="1216"/>
      <c r="F14" s="1223" t="s">
        <v>994</v>
      </c>
      <c r="G14" s="1223"/>
      <c r="H14" s="1224"/>
    </row>
    <row r="15" spans="1:26" ht="15.75" thickBot="1">
      <c r="A15" s="1216"/>
      <c r="B15" s="1216" t="s">
        <v>993</v>
      </c>
      <c r="C15" s="1216"/>
      <c r="F15" s="1223" t="s">
        <v>992</v>
      </c>
      <c r="G15" s="1223"/>
      <c r="H15" s="1224"/>
    </row>
    <row r="16" spans="1:26" ht="120.75" thickBot="1">
      <c r="A16" s="1216"/>
      <c r="B16" s="715" t="s">
        <v>975</v>
      </c>
      <c r="C16" s="716" t="s">
        <v>974</v>
      </c>
      <c r="F16" s="713" t="s">
        <v>973</v>
      </c>
      <c r="G16" s="712" t="s">
        <v>972</v>
      </c>
      <c r="H16" s="1224"/>
    </row>
    <row r="17" spans="1:8" ht="15.75" thickBot="1">
      <c r="A17" s="1216"/>
      <c r="B17" s="1218" t="s">
        <v>971</v>
      </c>
      <c r="C17" s="1218"/>
      <c r="F17" s="1217" t="s">
        <v>970</v>
      </c>
      <c r="G17" s="1217"/>
      <c r="H17" s="1224"/>
    </row>
    <row r="18" spans="1:8" ht="15.75" thickBot="1">
      <c r="A18" s="1216"/>
      <c r="B18" s="1218" t="s">
        <v>969</v>
      </c>
      <c r="C18" s="1218"/>
      <c r="F18" s="1217" t="s">
        <v>968</v>
      </c>
      <c r="G18" s="1217"/>
      <c r="H18" s="1224"/>
    </row>
    <row r="19" spans="1:8" ht="15.75" thickBot="1">
      <c r="A19" s="1216" t="s">
        <v>991</v>
      </c>
      <c r="B19" s="1218" t="s">
        <v>990</v>
      </c>
      <c r="C19" s="1218"/>
      <c r="F19" s="1217" t="s">
        <v>989</v>
      </c>
      <c r="G19" s="1217"/>
      <c r="H19" s="1224" t="s">
        <v>988</v>
      </c>
    </row>
    <row r="20" spans="1:8" ht="15.75" thickBot="1">
      <c r="A20" s="1216"/>
      <c r="B20" s="1218" t="s">
        <v>987</v>
      </c>
      <c r="C20" s="1218"/>
      <c r="F20" s="1217" t="s">
        <v>986</v>
      </c>
      <c r="G20" s="1217"/>
      <c r="H20" s="1224"/>
    </row>
    <row r="21" spans="1:8" ht="15.75" thickBot="1">
      <c r="A21" s="1216"/>
      <c r="B21" s="1218" t="s">
        <v>985</v>
      </c>
      <c r="C21" s="1218"/>
      <c r="F21" s="1217" t="s">
        <v>984</v>
      </c>
      <c r="G21" s="1217"/>
      <c r="H21" s="1224"/>
    </row>
    <row r="22" spans="1:8" ht="15.75" thickBot="1">
      <c r="A22" s="1216"/>
      <c r="B22" s="1218" t="s">
        <v>983</v>
      </c>
      <c r="C22" s="1218"/>
      <c r="F22" s="1217" t="s">
        <v>982</v>
      </c>
      <c r="G22" s="1217"/>
      <c r="H22" s="1224"/>
    </row>
    <row r="23" spans="1:8" ht="39" thickBot="1">
      <c r="A23" s="1216"/>
      <c r="B23" s="715" t="s">
        <v>981</v>
      </c>
      <c r="C23" s="714" t="s">
        <v>980</v>
      </c>
      <c r="F23" s="713" t="s">
        <v>979</v>
      </c>
      <c r="G23" s="717" t="s">
        <v>978</v>
      </c>
      <c r="H23" s="1224"/>
    </row>
    <row r="24" spans="1:8" ht="15.75" thickBot="1">
      <c r="A24" s="1216"/>
      <c r="B24" s="1216" t="s">
        <v>977</v>
      </c>
      <c r="C24" s="1216"/>
      <c r="F24" s="1223" t="s">
        <v>976</v>
      </c>
      <c r="G24" s="1223"/>
      <c r="H24" s="1224"/>
    </row>
    <row r="25" spans="1:8" ht="120.75" thickBot="1">
      <c r="A25" s="1216"/>
      <c r="B25" s="715" t="s">
        <v>975</v>
      </c>
      <c r="C25" s="716" t="s">
        <v>974</v>
      </c>
      <c r="F25" s="713" t="s">
        <v>973</v>
      </c>
      <c r="G25" s="712" t="s">
        <v>972</v>
      </c>
      <c r="H25" s="1224"/>
    </row>
    <row r="26" spans="1:8" ht="15.75" thickBot="1">
      <c r="A26" s="1216"/>
      <c r="B26" s="1219" t="s">
        <v>971</v>
      </c>
      <c r="C26" s="1220"/>
      <c r="F26" s="1225" t="s">
        <v>970</v>
      </c>
      <c r="G26" s="1226"/>
      <c r="H26" s="1224"/>
    </row>
    <row r="27" spans="1:8" ht="15.75" thickBot="1">
      <c r="A27" s="1216"/>
      <c r="B27" s="1218" t="s">
        <v>969</v>
      </c>
      <c r="C27" s="1218"/>
      <c r="F27" s="1217" t="s">
        <v>968</v>
      </c>
      <c r="G27" s="1217"/>
      <c r="H27" s="1224"/>
    </row>
    <row r="28" spans="1:8" ht="39" thickBot="1">
      <c r="A28" s="1216"/>
      <c r="B28" s="715" t="s">
        <v>967</v>
      </c>
      <c r="C28" s="714" t="s">
        <v>966</v>
      </c>
      <c r="F28" s="713" t="s">
        <v>965</v>
      </c>
      <c r="G28" s="712" t="s">
        <v>964</v>
      </c>
      <c r="H28" s="1224"/>
    </row>
    <row r="30" spans="1:8">
      <c r="A30" s="711" t="s">
        <v>963</v>
      </c>
      <c r="H30" t="s">
        <v>962</v>
      </c>
    </row>
  </sheetData>
  <mergeCells count="41">
    <mergeCell ref="A1:H1"/>
    <mergeCell ref="F7:H7"/>
    <mergeCell ref="G8:H8"/>
    <mergeCell ref="H19:H28"/>
    <mergeCell ref="F19:G19"/>
    <mergeCell ref="F20:G20"/>
    <mergeCell ref="F21:G21"/>
    <mergeCell ref="F22:G22"/>
    <mergeCell ref="F24:G24"/>
    <mergeCell ref="F26:G26"/>
    <mergeCell ref="F14:G14"/>
    <mergeCell ref="F15:G15"/>
    <mergeCell ref="F17:G17"/>
    <mergeCell ref="F18:G18"/>
    <mergeCell ref="G5:H6"/>
    <mergeCell ref="H9:H18"/>
    <mergeCell ref="B24:C24"/>
    <mergeCell ref="B26:C26"/>
    <mergeCell ref="B27:C27"/>
    <mergeCell ref="B18:C18"/>
    <mergeCell ref="F9:G9"/>
    <mergeCell ref="F10:G10"/>
    <mergeCell ref="F11:G11"/>
    <mergeCell ref="F12:G12"/>
    <mergeCell ref="B21:C21"/>
    <mergeCell ref="A8:B8"/>
    <mergeCell ref="A7:C7"/>
    <mergeCell ref="F27:G27"/>
    <mergeCell ref="A5:B6"/>
    <mergeCell ref="A9:A18"/>
    <mergeCell ref="B9:C9"/>
    <mergeCell ref="B10:C10"/>
    <mergeCell ref="B11:C11"/>
    <mergeCell ref="B12:C12"/>
    <mergeCell ref="B14:C14"/>
    <mergeCell ref="B15:C15"/>
    <mergeCell ref="B17:C17"/>
    <mergeCell ref="A19:A28"/>
    <mergeCell ref="B19:C19"/>
    <mergeCell ref="B20:C20"/>
    <mergeCell ref="B22:C22"/>
  </mergeCells>
  <printOptions horizontalCentered="1"/>
  <pageMargins left="0" right="0" top="0.74803149606299213" bottom="0" header="0" footer="0"/>
  <pageSetup paperSize="9" scale="90"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AB30"/>
  <sheetViews>
    <sheetView rightToLeft="1" view="pageBreakPreview" zoomScaleNormal="100" zoomScaleSheetLayoutView="100" workbookViewId="0">
      <selection activeCell="M18" sqref="M18"/>
    </sheetView>
  </sheetViews>
  <sheetFormatPr defaultRowHeight="15"/>
  <cols>
    <col min="3" max="3" width="20.42578125" customWidth="1"/>
    <col min="5" max="5" width="3.140625" customWidth="1"/>
    <col min="6" max="6" width="25.5703125" customWidth="1"/>
    <col min="7" max="7" width="16.5703125" customWidth="1"/>
  </cols>
  <sheetData>
    <row r="1" spans="1:28" s="720" customFormat="1" ht="69" customHeight="1">
      <c r="A1" s="1221" t="s">
        <v>1032</v>
      </c>
      <c r="B1" s="1222"/>
      <c r="C1" s="1222"/>
      <c r="D1" s="1222"/>
      <c r="E1" s="1222"/>
      <c r="F1" s="1222"/>
      <c r="G1" s="1222"/>
      <c r="H1" s="1222"/>
      <c r="I1" s="721"/>
      <c r="J1" s="721"/>
      <c r="K1" s="721"/>
      <c r="L1" s="721"/>
      <c r="M1" s="721"/>
      <c r="N1" s="721"/>
      <c r="O1" s="721"/>
      <c r="P1" s="721"/>
      <c r="Q1" s="721"/>
      <c r="R1" s="721"/>
      <c r="S1" s="721"/>
      <c r="T1" s="721"/>
      <c r="U1" s="721"/>
      <c r="V1" s="721"/>
      <c r="W1" s="721"/>
      <c r="X1" s="721"/>
      <c r="Y1" s="721"/>
      <c r="Z1" s="721"/>
      <c r="AA1" s="721"/>
      <c r="AB1" s="721"/>
    </row>
    <row r="4" spans="1:28" ht="15.75" thickBot="1"/>
    <row r="5" spans="1:28" ht="15.75" thickBot="1">
      <c r="A5" s="1216" t="s">
        <v>1031</v>
      </c>
      <c r="B5" s="1216"/>
      <c r="C5" s="719" t="s">
        <v>1010</v>
      </c>
      <c r="F5" s="718" t="s">
        <v>92</v>
      </c>
      <c r="G5" s="1223" t="s">
        <v>1030</v>
      </c>
      <c r="H5" s="1223"/>
    </row>
    <row r="6" spans="1:28" ht="15.75" thickBot="1">
      <c r="A6" s="1216"/>
      <c r="B6" s="1216"/>
      <c r="C6" s="719" t="s">
        <v>1008</v>
      </c>
      <c r="F6" s="718" t="s">
        <v>29</v>
      </c>
      <c r="G6" s="1223"/>
      <c r="H6" s="1223"/>
    </row>
    <row r="7" spans="1:28" ht="15.75" customHeight="1" thickBot="1">
      <c r="A7" s="1216" t="s">
        <v>1029</v>
      </c>
      <c r="B7" s="1216"/>
      <c r="C7" s="1216"/>
      <c r="F7" s="1223" t="s">
        <v>1006</v>
      </c>
      <c r="G7" s="1223"/>
      <c r="H7" s="1223"/>
    </row>
    <row r="8" spans="1:28" ht="15.75" customHeight="1" thickBot="1">
      <c r="A8" s="1216" t="s">
        <v>430</v>
      </c>
      <c r="B8" s="1216"/>
      <c r="C8" s="1216"/>
      <c r="F8" s="1223" t="s">
        <v>1028</v>
      </c>
      <c r="G8" s="1223"/>
      <c r="H8" s="1223"/>
    </row>
    <row r="9" spans="1:28" ht="65.25" customHeight="1" thickBot="1">
      <c r="A9" s="1216" t="s">
        <v>1027</v>
      </c>
      <c r="B9" s="1216"/>
      <c r="C9" s="714" t="s">
        <v>1026</v>
      </c>
      <c r="F9" s="713" t="s">
        <v>1025</v>
      </c>
      <c r="G9" s="1223" t="s">
        <v>1024</v>
      </c>
      <c r="H9" s="1223"/>
    </row>
    <row r="10" spans="1:28" ht="15.75" customHeight="1" thickBot="1">
      <c r="A10" s="1216" t="s">
        <v>1001</v>
      </c>
      <c r="B10" s="1218" t="s">
        <v>1000</v>
      </c>
      <c r="C10" s="1218"/>
      <c r="F10" s="1217" t="s">
        <v>1023</v>
      </c>
      <c r="G10" s="1217"/>
      <c r="H10" s="1224" t="s">
        <v>998</v>
      </c>
    </row>
    <row r="11" spans="1:28" ht="15.75" customHeight="1" thickBot="1">
      <c r="A11" s="1216"/>
      <c r="B11" s="1218" t="s">
        <v>987</v>
      </c>
      <c r="C11" s="1218"/>
      <c r="F11" s="1217" t="s">
        <v>986</v>
      </c>
      <c r="G11" s="1217"/>
      <c r="H11" s="1224"/>
    </row>
    <row r="12" spans="1:28" ht="15.75" customHeight="1" thickBot="1">
      <c r="A12" s="1216"/>
      <c r="B12" s="1218" t="s">
        <v>985</v>
      </c>
      <c r="C12" s="1218"/>
      <c r="F12" s="1217" t="s">
        <v>984</v>
      </c>
      <c r="G12" s="1217"/>
      <c r="H12" s="1224"/>
    </row>
    <row r="13" spans="1:28" ht="15.75" customHeight="1" thickBot="1">
      <c r="A13" s="1216"/>
      <c r="B13" s="1218" t="s">
        <v>983</v>
      </c>
      <c r="C13" s="1218"/>
      <c r="F13" s="1217" t="s">
        <v>982</v>
      </c>
      <c r="G13" s="1217"/>
      <c r="H13" s="1224"/>
    </row>
    <row r="14" spans="1:28" ht="15.75" customHeight="1" thickBot="1">
      <c r="A14" s="1216"/>
      <c r="B14" s="1218" t="s">
        <v>1022</v>
      </c>
      <c r="C14" s="1218"/>
      <c r="F14" s="1217" t="s">
        <v>1021</v>
      </c>
      <c r="G14" s="1217"/>
      <c r="H14" s="1224"/>
    </row>
    <row r="15" spans="1:28" ht="120.75" thickBot="1">
      <c r="A15" s="1216"/>
      <c r="B15" s="715" t="s">
        <v>975</v>
      </c>
      <c r="C15" s="716" t="s">
        <v>974</v>
      </c>
      <c r="F15" s="713" t="s">
        <v>973</v>
      </c>
      <c r="G15" s="712" t="s">
        <v>972</v>
      </c>
      <c r="H15" s="1224"/>
    </row>
    <row r="16" spans="1:28" ht="15.75" customHeight="1" thickBot="1">
      <c r="A16" s="1216"/>
      <c r="B16" s="1218" t="s">
        <v>1020</v>
      </c>
      <c r="C16" s="1218"/>
      <c r="F16" s="1217" t="s">
        <v>970</v>
      </c>
      <c r="G16" s="1217"/>
      <c r="H16" s="1224"/>
    </row>
    <row r="17" spans="1:8" ht="15.75" customHeight="1" thickBot="1">
      <c r="A17" s="1216"/>
      <c r="B17" s="1218" t="s">
        <v>969</v>
      </c>
      <c r="C17" s="1218"/>
      <c r="F17" s="1217" t="s">
        <v>968</v>
      </c>
      <c r="G17" s="1217"/>
      <c r="H17" s="1224"/>
    </row>
    <row r="18" spans="1:8" ht="15.75" customHeight="1" thickBot="1">
      <c r="A18" s="1216" t="s">
        <v>991</v>
      </c>
      <c r="B18" s="1218" t="s">
        <v>990</v>
      </c>
      <c r="C18" s="1218"/>
      <c r="F18" s="1217" t="s">
        <v>1019</v>
      </c>
      <c r="G18" s="1217"/>
      <c r="H18" s="1224" t="s">
        <v>988</v>
      </c>
    </row>
    <row r="19" spans="1:8" ht="15.75" customHeight="1" thickBot="1">
      <c r="A19" s="1216"/>
      <c r="B19" s="1218" t="s">
        <v>987</v>
      </c>
      <c r="C19" s="1218"/>
      <c r="F19" s="1217" t="s">
        <v>986</v>
      </c>
      <c r="G19" s="1217"/>
      <c r="H19" s="1224"/>
    </row>
    <row r="20" spans="1:8" ht="15.75" customHeight="1" thickBot="1">
      <c r="A20" s="1216"/>
      <c r="B20" s="1218" t="s">
        <v>985</v>
      </c>
      <c r="C20" s="1218"/>
      <c r="F20" s="1217" t="s">
        <v>984</v>
      </c>
      <c r="G20" s="1217"/>
      <c r="H20" s="1224"/>
    </row>
    <row r="21" spans="1:8" ht="15.75" customHeight="1" thickBot="1">
      <c r="A21" s="1216"/>
      <c r="B21" s="1218" t="s">
        <v>983</v>
      </c>
      <c r="C21" s="1218"/>
      <c r="F21" s="1217" t="s">
        <v>982</v>
      </c>
      <c r="G21" s="1217"/>
      <c r="H21" s="1224"/>
    </row>
    <row r="22" spans="1:8" ht="120.75" thickBot="1">
      <c r="A22" s="1216"/>
      <c r="B22" s="715" t="s">
        <v>975</v>
      </c>
      <c r="C22" s="716" t="s">
        <v>974</v>
      </c>
      <c r="F22" s="713" t="s">
        <v>973</v>
      </c>
      <c r="G22" s="712" t="s">
        <v>972</v>
      </c>
      <c r="H22" s="1224"/>
    </row>
    <row r="23" spans="1:8" ht="15.75" customHeight="1" thickBot="1">
      <c r="A23" s="1216"/>
      <c r="B23" s="1219" t="s">
        <v>971</v>
      </c>
      <c r="C23" s="1220"/>
      <c r="F23" s="1225" t="s">
        <v>970</v>
      </c>
      <c r="G23" s="1226"/>
      <c r="H23" s="1224"/>
    </row>
    <row r="24" spans="1:8" ht="15.75" customHeight="1" thickBot="1">
      <c r="A24" s="1216"/>
      <c r="B24" s="1218" t="s">
        <v>969</v>
      </c>
      <c r="C24" s="1218"/>
      <c r="F24" s="1217" t="s">
        <v>968</v>
      </c>
      <c r="G24" s="1217"/>
      <c r="H24" s="1224"/>
    </row>
    <row r="25" spans="1:8" ht="39" thickBot="1">
      <c r="A25" s="1216"/>
      <c r="B25" s="715" t="s">
        <v>967</v>
      </c>
      <c r="C25" s="714" t="s">
        <v>966</v>
      </c>
      <c r="F25" s="713" t="s">
        <v>965</v>
      </c>
      <c r="G25" s="712" t="s">
        <v>964</v>
      </c>
      <c r="H25" s="1224"/>
    </row>
    <row r="26" spans="1:8" ht="15.75" customHeight="1" thickBot="1">
      <c r="A26" s="1216"/>
      <c r="B26" s="1218" t="s">
        <v>1018</v>
      </c>
      <c r="C26" s="1218"/>
      <c r="F26" s="1227" t="s">
        <v>1017</v>
      </c>
      <c r="G26" s="1227"/>
      <c r="H26" s="1224"/>
    </row>
    <row r="27" spans="1:8" ht="15.75" customHeight="1" thickBot="1">
      <c r="A27" s="1216"/>
      <c r="B27" s="1218" t="s">
        <v>1016</v>
      </c>
      <c r="C27" s="1218"/>
      <c r="F27" s="1227" t="s">
        <v>1015</v>
      </c>
      <c r="G27" s="1227"/>
      <c r="H27" s="1224"/>
    </row>
    <row r="28" spans="1:8" ht="15.75" customHeight="1" thickBot="1">
      <c r="A28" s="1216"/>
      <c r="B28" s="1218" t="s">
        <v>1014</v>
      </c>
      <c r="C28" s="1218"/>
      <c r="F28" s="1227" t="s">
        <v>1013</v>
      </c>
      <c r="G28" s="1227"/>
      <c r="H28" s="1224"/>
    </row>
    <row r="30" spans="1:8">
      <c r="A30" s="711" t="s">
        <v>963</v>
      </c>
      <c r="H30" t="s">
        <v>962</v>
      </c>
    </row>
  </sheetData>
  <mergeCells count="45">
    <mergeCell ref="H18:H28"/>
    <mergeCell ref="F18:G18"/>
    <mergeCell ref="F19:G19"/>
    <mergeCell ref="F20:G20"/>
    <mergeCell ref="F21:G21"/>
    <mergeCell ref="F23:G23"/>
    <mergeCell ref="F26:G26"/>
    <mergeCell ref="F27:G27"/>
    <mergeCell ref="F28:G28"/>
    <mergeCell ref="F24:G24"/>
    <mergeCell ref="G9:H9"/>
    <mergeCell ref="H10:H17"/>
    <mergeCell ref="F10:G10"/>
    <mergeCell ref="F11:G11"/>
    <mergeCell ref="F12:G12"/>
    <mergeCell ref="F13:G13"/>
    <mergeCell ref="F14:G14"/>
    <mergeCell ref="F16:G16"/>
    <mergeCell ref="F17:G17"/>
    <mergeCell ref="A18:A28"/>
    <mergeCell ref="B20:C20"/>
    <mergeCell ref="B26:C26"/>
    <mergeCell ref="B27:C27"/>
    <mergeCell ref="B18:C18"/>
    <mergeCell ref="B19:C19"/>
    <mergeCell ref="B21:C21"/>
    <mergeCell ref="B23:C23"/>
    <mergeCell ref="B28:C28"/>
    <mergeCell ref="B24:C24"/>
    <mergeCell ref="A9:B9"/>
    <mergeCell ref="A10:A17"/>
    <mergeCell ref="B11:C11"/>
    <mergeCell ref="B14:C14"/>
    <mergeCell ref="B17:C17"/>
    <mergeCell ref="B16:C16"/>
    <mergeCell ref="B12:C12"/>
    <mergeCell ref="B13:C13"/>
    <mergeCell ref="B10:C10"/>
    <mergeCell ref="A8:C8"/>
    <mergeCell ref="F8:H8"/>
    <mergeCell ref="A1:H1"/>
    <mergeCell ref="A5:B6"/>
    <mergeCell ref="G5:H6"/>
    <mergeCell ref="A7:C7"/>
    <mergeCell ref="F7:H7"/>
  </mergeCells>
  <printOptions horizontalCentered="1"/>
  <pageMargins left="0" right="0" top="0.74803149606299213" bottom="0" header="0" footer="0"/>
  <pageSetup paperSize="9" scale="9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17"/>
  <sheetViews>
    <sheetView rightToLeft="1" view="pageBreakPreview" zoomScaleNormal="100" zoomScaleSheetLayoutView="100" workbookViewId="0">
      <selection activeCell="E17" sqref="E17"/>
    </sheetView>
  </sheetViews>
  <sheetFormatPr defaultColWidth="9.140625" defaultRowHeight="12.75"/>
  <cols>
    <col min="1" max="1" width="20.140625" style="1" bestFit="1" customWidth="1"/>
    <col min="2" max="5" width="19.85546875" style="1" customWidth="1"/>
    <col min="6" max="6" width="23.140625" style="1" bestFit="1" customWidth="1"/>
    <col min="7" max="16384" width="9.140625" style="1"/>
  </cols>
  <sheetData>
    <row r="1" spans="1:7" ht="18">
      <c r="A1" s="1009" t="s">
        <v>37</v>
      </c>
      <c r="B1" s="1009"/>
      <c r="C1" s="1009"/>
      <c r="D1" s="1009"/>
      <c r="E1" s="1009"/>
      <c r="F1" s="1009"/>
    </row>
    <row r="2" spans="1:7" ht="15.75" customHeight="1">
      <c r="A2" s="1036" t="s">
        <v>571</v>
      </c>
      <c r="B2" s="1036"/>
      <c r="C2" s="1036"/>
      <c r="D2" s="1036"/>
      <c r="E2" s="1036"/>
      <c r="F2" s="1036"/>
    </row>
    <row r="3" spans="1:7" ht="15.75">
      <c r="A3" s="1037" t="s">
        <v>751</v>
      </c>
      <c r="B3" s="1037"/>
      <c r="C3" s="1037"/>
      <c r="D3" s="1037"/>
      <c r="E3" s="1037"/>
      <c r="F3" s="1037"/>
    </row>
    <row r="4" spans="1:7" ht="15.75">
      <c r="A4" s="361"/>
      <c r="B4" s="361"/>
      <c r="C4" s="361"/>
      <c r="D4" s="361"/>
      <c r="E4" s="361"/>
      <c r="F4" s="361"/>
    </row>
    <row r="5" spans="1:7" s="31" customFormat="1" ht="20.25" customHeight="1">
      <c r="A5" s="362" t="s">
        <v>45</v>
      </c>
      <c r="B5" s="363"/>
      <c r="C5" s="364"/>
      <c r="D5" s="364"/>
      <c r="E5" s="364"/>
      <c r="F5" s="365" t="s">
        <v>395</v>
      </c>
      <c r="G5" s="32"/>
    </row>
    <row r="6" spans="1:7" ht="21" customHeight="1">
      <c r="A6" s="1032" t="s">
        <v>31</v>
      </c>
      <c r="B6" s="1010" t="s">
        <v>53</v>
      </c>
      <c r="C6" s="1010"/>
      <c r="D6" s="1010" t="s">
        <v>52</v>
      </c>
      <c r="E6" s="1010"/>
      <c r="F6" s="1034" t="s">
        <v>29</v>
      </c>
    </row>
    <row r="7" spans="1:7" ht="26.25">
      <c r="A7" s="1033"/>
      <c r="B7" s="391" t="s">
        <v>35</v>
      </c>
      <c r="C7" s="391" t="s">
        <v>34</v>
      </c>
      <c r="D7" s="391" t="s">
        <v>35</v>
      </c>
      <c r="E7" s="391" t="s">
        <v>34</v>
      </c>
      <c r="F7" s="1035"/>
    </row>
    <row r="8" spans="1:7" ht="24.95" customHeight="1" thickBot="1">
      <c r="A8" s="736">
        <v>2010</v>
      </c>
      <c r="B8" s="737">
        <v>26.5</v>
      </c>
      <c r="C8" s="737">
        <v>23.9</v>
      </c>
      <c r="D8" s="737">
        <v>29.6</v>
      </c>
      <c r="E8" s="737">
        <v>26.5</v>
      </c>
      <c r="F8" s="738">
        <v>2010</v>
      </c>
    </row>
    <row r="9" spans="1:7" ht="24.95" customHeight="1" thickBot="1">
      <c r="A9" s="19">
        <v>2011</v>
      </c>
      <c r="B9" s="28">
        <v>26.7</v>
      </c>
      <c r="C9" s="28">
        <v>24.1</v>
      </c>
      <c r="D9" s="28">
        <v>29.6</v>
      </c>
      <c r="E9" s="28">
        <v>26.5</v>
      </c>
      <c r="F9" s="17">
        <v>2011</v>
      </c>
    </row>
    <row r="10" spans="1:7" ht="24.95" customHeight="1" thickBot="1">
      <c r="A10" s="16">
        <v>2012</v>
      </c>
      <c r="B10" s="27">
        <v>26.174934725848566</v>
      </c>
      <c r="C10" s="27">
        <v>23.02741358760429</v>
      </c>
      <c r="D10" s="27">
        <v>28.814432989690722</v>
      </c>
      <c r="E10" s="27">
        <v>25.694668820678515</v>
      </c>
      <c r="F10" s="15">
        <v>2012</v>
      </c>
    </row>
    <row r="11" spans="1:7" ht="24.95" customHeight="1" thickBot="1">
      <c r="A11" s="19">
        <v>2013</v>
      </c>
      <c r="B11" s="28">
        <v>26.1</v>
      </c>
      <c r="C11" s="28">
        <v>23.5</v>
      </c>
      <c r="D11" s="28">
        <v>28.7</v>
      </c>
      <c r="E11" s="28">
        <v>26.1</v>
      </c>
      <c r="F11" s="17">
        <v>2013</v>
      </c>
    </row>
    <row r="12" spans="1:7" ht="24.95" customHeight="1" thickBot="1">
      <c r="A12" s="16">
        <v>2014</v>
      </c>
      <c r="B12" s="27">
        <v>26.5</v>
      </c>
      <c r="C12" s="27">
        <v>24.1</v>
      </c>
      <c r="D12" s="27">
        <v>28.9</v>
      </c>
      <c r="E12" s="27">
        <v>26.2</v>
      </c>
      <c r="F12" s="15">
        <v>2014</v>
      </c>
    </row>
    <row r="13" spans="1:7" ht="24.95" customHeight="1" thickBot="1">
      <c r="A13" s="19">
        <v>2015</v>
      </c>
      <c r="B13" s="28">
        <v>26.254914809960681</v>
      </c>
      <c r="C13" s="28">
        <v>23.829462102689487</v>
      </c>
      <c r="D13" s="28">
        <v>28.388975155279503</v>
      </c>
      <c r="E13" s="28">
        <v>25.96153846153846</v>
      </c>
      <c r="F13" s="17">
        <v>2015</v>
      </c>
    </row>
    <row r="14" spans="1:7" ht="24.95" customHeight="1" thickBot="1">
      <c r="A14" s="16">
        <v>2016</v>
      </c>
      <c r="B14" s="27">
        <v>26.3</v>
      </c>
      <c r="C14" s="27">
        <v>24.1</v>
      </c>
      <c r="D14" s="27">
        <v>28.9</v>
      </c>
      <c r="E14" s="27">
        <v>26.2</v>
      </c>
      <c r="F14" s="15">
        <v>2016</v>
      </c>
    </row>
    <row r="15" spans="1:7" ht="24.95" customHeight="1" thickBot="1">
      <c r="A15" s="19">
        <v>2017</v>
      </c>
      <c r="B15" s="28">
        <v>26.6</v>
      </c>
      <c r="C15" s="28">
        <v>24</v>
      </c>
      <c r="D15" s="28">
        <v>29.1</v>
      </c>
      <c r="E15" s="28">
        <v>26.7</v>
      </c>
      <c r="F15" s="17">
        <v>2017</v>
      </c>
    </row>
    <row r="16" spans="1:7" ht="24.95" customHeight="1" thickBot="1">
      <c r="A16" s="16">
        <v>2018</v>
      </c>
      <c r="B16" s="27">
        <v>26.7</v>
      </c>
      <c r="C16" s="27">
        <v>24.5</v>
      </c>
      <c r="D16" s="27">
        <v>29.7</v>
      </c>
      <c r="E16" s="27">
        <v>27.2</v>
      </c>
      <c r="F16" s="15">
        <v>2018</v>
      </c>
    </row>
    <row r="17" spans="1:6" ht="24.95" customHeight="1">
      <c r="A17" s="14">
        <v>2019</v>
      </c>
      <c r="B17" s="26">
        <v>26.9</v>
      </c>
      <c r="C17" s="26">
        <v>24.4</v>
      </c>
      <c r="D17" s="26">
        <v>29.5</v>
      </c>
      <c r="E17" s="26">
        <v>27.1</v>
      </c>
      <c r="F17" s="733">
        <v>2019</v>
      </c>
    </row>
  </sheetData>
  <mergeCells count="7">
    <mergeCell ref="A1:F1"/>
    <mergeCell ref="A6:A7"/>
    <mergeCell ref="F6:F7"/>
    <mergeCell ref="A2:F2"/>
    <mergeCell ref="A3:F3"/>
    <mergeCell ref="B6:C6"/>
    <mergeCell ref="D6:E6"/>
  </mergeCells>
  <printOptions horizontalCentered="1" verticalCentered="1"/>
  <pageMargins left="0" right="0" top="0" bottom="0" header="0" footer="0"/>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36"/>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1" spans="1:1" ht="36" customHeight="1"/>
    <row r="11" spans="1:1">
      <c r="A11" s="390"/>
    </row>
    <row r="36" spans="1:13" ht="15.75">
      <c r="A36" s="1038" t="s">
        <v>38</v>
      </c>
      <c r="B36" s="1038"/>
      <c r="C36" s="1038"/>
      <c r="D36" s="1038"/>
      <c r="E36" s="1038"/>
      <c r="F36" s="1038"/>
      <c r="G36" s="1038"/>
      <c r="H36" s="1038"/>
      <c r="I36" s="1038"/>
      <c r="J36" s="1038"/>
      <c r="K36" s="1038"/>
      <c r="L36" s="1038"/>
      <c r="M36" s="1038"/>
    </row>
  </sheetData>
  <mergeCells count="1">
    <mergeCell ref="A36:M36"/>
  </mergeCells>
  <printOptions horizontalCentered="1" verticalCentered="1"/>
  <pageMargins left="0" right="0" top="0" bottom="0" header="0" footer="0"/>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22"/>
  <sheetViews>
    <sheetView rightToLeft="1" tabSelected="1" view="pageBreakPreview" zoomScaleNormal="100" zoomScaleSheetLayoutView="100" workbookViewId="0">
      <selection activeCell="J6" sqref="J6"/>
    </sheetView>
  </sheetViews>
  <sheetFormatPr defaultColWidth="9.140625" defaultRowHeight="12.75"/>
  <cols>
    <col min="1" max="1" width="20.140625" style="1" bestFit="1" customWidth="1"/>
    <col min="2" max="5" width="19.5703125" style="1" customWidth="1"/>
    <col min="6" max="6" width="23.140625" style="1" bestFit="1" customWidth="1"/>
    <col min="7" max="16384" width="9.140625" style="1"/>
  </cols>
  <sheetData>
    <row r="1" spans="1:7" ht="18">
      <c r="A1" s="1009" t="s">
        <v>572</v>
      </c>
      <c r="B1" s="1009"/>
      <c r="C1" s="1009"/>
      <c r="D1" s="1009"/>
      <c r="E1" s="1009"/>
      <c r="F1" s="1009"/>
    </row>
    <row r="2" spans="1:7" ht="15.75" customHeight="1">
      <c r="A2" s="1036" t="s">
        <v>46</v>
      </c>
      <c r="B2" s="1036"/>
      <c r="C2" s="1036"/>
      <c r="D2" s="1036"/>
      <c r="E2" s="1036"/>
      <c r="F2" s="1036"/>
    </row>
    <row r="3" spans="1:7" ht="15.75">
      <c r="A3" s="1037" t="s">
        <v>751</v>
      </c>
      <c r="B3" s="1037"/>
      <c r="C3" s="1037"/>
      <c r="D3" s="1037"/>
      <c r="E3" s="1037"/>
      <c r="F3" s="1037"/>
    </row>
    <row r="4" spans="1:7" ht="15.75">
      <c r="A4" s="361"/>
      <c r="B4" s="361"/>
      <c r="C4" s="361"/>
      <c r="D4" s="361"/>
      <c r="E4" s="361"/>
      <c r="F4" s="361"/>
    </row>
    <row r="5" spans="1:7" s="31" customFormat="1" ht="20.25" customHeight="1">
      <c r="A5" s="362" t="s">
        <v>54</v>
      </c>
      <c r="B5" s="364"/>
      <c r="C5" s="364"/>
      <c r="D5" s="364"/>
      <c r="E5" s="364"/>
      <c r="F5" s="365" t="s">
        <v>394</v>
      </c>
      <c r="G5" s="32"/>
    </row>
    <row r="6" spans="1:7" ht="24" customHeight="1" thickBot="1">
      <c r="A6" s="1039" t="s">
        <v>31</v>
      </c>
      <c r="B6" s="37" t="s">
        <v>44</v>
      </c>
      <c r="C6" s="36" t="s">
        <v>43</v>
      </c>
      <c r="D6" s="37" t="s">
        <v>42</v>
      </c>
      <c r="E6" s="36" t="s">
        <v>41</v>
      </c>
      <c r="F6" s="1041" t="s">
        <v>29</v>
      </c>
    </row>
    <row r="7" spans="1:7" ht="25.5" customHeight="1">
      <c r="A7" s="1040"/>
      <c r="B7" s="408" t="s">
        <v>692</v>
      </c>
      <c r="C7" s="408" t="s">
        <v>40</v>
      </c>
      <c r="D7" s="408" t="s">
        <v>693</v>
      </c>
      <c r="E7" s="408" t="s">
        <v>39</v>
      </c>
      <c r="F7" s="1042"/>
    </row>
    <row r="8" spans="1:7" ht="24.95" customHeight="1" thickBot="1">
      <c r="A8" s="736">
        <v>2010</v>
      </c>
      <c r="B8" s="739">
        <v>2977</v>
      </c>
      <c r="C8" s="737">
        <v>1.7</v>
      </c>
      <c r="D8" s="739">
        <v>1172</v>
      </c>
      <c r="E8" s="737">
        <v>0.7</v>
      </c>
      <c r="F8" s="738">
        <v>2010</v>
      </c>
    </row>
    <row r="9" spans="1:7" ht="24.95" customHeight="1" thickBot="1">
      <c r="A9" s="19">
        <v>2011</v>
      </c>
      <c r="B9" s="469">
        <v>3293</v>
      </c>
      <c r="C9" s="28">
        <v>1.9</v>
      </c>
      <c r="D9" s="469">
        <v>1108</v>
      </c>
      <c r="E9" s="28">
        <v>0.6</v>
      </c>
      <c r="F9" s="17">
        <v>2011</v>
      </c>
    </row>
    <row r="10" spans="1:7" ht="24.95" customHeight="1" thickBot="1">
      <c r="A10" s="16">
        <v>2012</v>
      </c>
      <c r="B10" s="452">
        <v>3532</v>
      </c>
      <c r="C10" s="27">
        <v>1.9</v>
      </c>
      <c r="D10" s="452">
        <v>1420</v>
      </c>
      <c r="E10" s="27">
        <v>0.8</v>
      </c>
      <c r="F10" s="15">
        <v>2012</v>
      </c>
    </row>
    <row r="11" spans="1:7" ht="24.95" customHeight="1" thickBot="1">
      <c r="A11" s="19">
        <v>2013</v>
      </c>
      <c r="B11" s="469">
        <v>3619</v>
      </c>
      <c r="C11" s="28">
        <v>1.8</v>
      </c>
      <c r="D11" s="469">
        <v>1325</v>
      </c>
      <c r="E11" s="28">
        <v>0.7</v>
      </c>
      <c r="F11" s="17">
        <v>2013</v>
      </c>
    </row>
    <row r="12" spans="1:7" ht="24.95" customHeight="1" thickBot="1">
      <c r="A12" s="16">
        <v>2014</v>
      </c>
      <c r="B12" s="452">
        <v>3674</v>
      </c>
      <c r="C12" s="27">
        <v>1.7</v>
      </c>
      <c r="D12" s="452">
        <v>1315</v>
      </c>
      <c r="E12" s="27">
        <v>0.6</v>
      </c>
      <c r="F12" s="15">
        <v>2014</v>
      </c>
    </row>
    <row r="13" spans="1:7" ht="24.95" customHeight="1" thickBot="1">
      <c r="A13" s="19">
        <v>2015</v>
      </c>
      <c r="B13" s="469">
        <v>3724</v>
      </c>
      <c r="C13" s="28">
        <v>1.5276131250025637</v>
      </c>
      <c r="D13" s="469">
        <v>1307</v>
      </c>
      <c r="E13" s="28">
        <v>0.53614134113274736</v>
      </c>
      <c r="F13" s="17">
        <v>2015</v>
      </c>
    </row>
    <row r="14" spans="1:7" ht="24.95" customHeight="1" thickBot="1">
      <c r="A14" s="16">
        <v>2016</v>
      </c>
      <c r="B14" s="452">
        <v>3830</v>
      </c>
      <c r="C14" s="27">
        <v>1.4631533667426386</v>
      </c>
      <c r="D14" s="452">
        <v>1151</v>
      </c>
      <c r="E14" s="27">
        <v>0.4397100587782708</v>
      </c>
      <c r="F14" s="15">
        <v>2016</v>
      </c>
    </row>
    <row r="15" spans="1:7" ht="24.95" customHeight="1" thickBot="1">
      <c r="A15" s="19">
        <v>2017</v>
      </c>
      <c r="B15" s="469">
        <v>3718</v>
      </c>
      <c r="C15" s="28">
        <v>1.3646009734985536</v>
      </c>
      <c r="D15" s="469">
        <v>1206</v>
      </c>
      <c r="E15" s="28">
        <v>0.44263280635805691</v>
      </c>
      <c r="F15" s="17">
        <v>2017</v>
      </c>
    </row>
    <row r="16" spans="1:7" ht="24.95" customHeight="1" thickBot="1">
      <c r="A16" s="16">
        <v>2018</v>
      </c>
      <c r="B16" s="452">
        <v>3758</v>
      </c>
      <c r="C16" s="27">
        <v>1.3615103417543122</v>
      </c>
      <c r="D16" s="452">
        <v>1182</v>
      </c>
      <c r="E16" s="27">
        <v>0.42823449280297954</v>
      </c>
      <c r="F16" s="15">
        <v>2018</v>
      </c>
    </row>
    <row r="17" spans="1:6" ht="24.95" customHeight="1">
      <c r="A17" s="14">
        <v>2019</v>
      </c>
      <c r="B17" s="453">
        <v>3621</v>
      </c>
      <c r="C17" s="26">
        <v>1.2935829568569901</v>
      </c>
      <c r="D17" s="453">
        <v>1833</v>
      </c>
      <c r="E17" s="26">
        <v>0.65482948354566772</v>
      </c>
      <c r="F17" s="733">
        <v>2019</v>
      </c>
    </row>
    <row r="22" spans="1:6">
      <c r="E22" s="12"/>
    </row>
  </sheetData>
  <mergeCells count="5">
    <mergeCell ref="A6:A7"/>
    <mergeCell ref="F6:F7"/>
    <mergeCell ref="A1:F1"/>
    <mergeCell ref="A2:F2"/>
    <mergeCell ref="A3:F3"/>
  </mergeCells>
  <printOptions horizontalCentered="1" verticalCentered="1"/>
  <pageMargins left="0" right="0" top="0" bottom="0" header="0" footer="0"/>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34"/>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1" spans="1:13" ht="33" customHeight="1">
      <c r="A1" s="95"/>
      <c r="B1" s="95"/>
      <c r="C1" s="95"/>
      <c r="D1" s="95"/>
      <c r="E1" s="95"/>
      <c r="F1" s="95"/>
      <c r="G1" s="95"/>
      <c r="H1" s="95"/>
      <c r="I1" s="95"/>
      <c r="J1" s="95"/>
      <c r="K1" s="95"/>
      <c r="L1" s="95"/>
      <c r="M1" s="95"/>
    </row>
    <row r="2" spans="1:13">
      <c r="A2" s="95"/>
      <c r="B2" s="95"/>
      <c r="C2" s="95"/>
      <c r="D2" s="95"/>
      <c r="E2" s="95"/>
      <c r="F2" s="95"/>
      <c r="G2" s="95"/>
      <c r="H2" s="95"/>
      <c r="I2" s="95"/>
      <c r="J2" s="95"/>
      <c r="K2" s="95"/>
      <c r="L2" s="95"/>
      <c r="M2" s="95"/>
    </row>
    <row r="3" spans="1:13">
      <c r="A3" s="95"/>
      <c r="B3" s="95"/>
      <c r="C3" s="95"/>
      <c r="D3" s="95"/>
      <c r="E3" s="95"/>
      <c r="F3" s="95"/>
      <c r="G3" s="95"/>
      <c r="H3" s="95"/>
      <c r="I3" s="95"/>
      <c r="J3" s="95"/>
      <c r="K3" s="95"/>
      <c r="L3" s="95"/>
      <c r="M3" s="95"/>
    </row>
    <row r="4" spans="1:13">
      <c r="A4" s="95"/>
      <c r="B4" s="95"/>
      <c r="C4" s="95"/>
      <c r="D4" s="95"/>
      <c r="E4" s="95"/>
      <c r="F4" s="95"/>
      <c r="G4" s="95"/>
      <c r="H4" s="95"/>
      <c r="I4" s="95"/>
      <c r="J4" s="95"/>
      <c r="K4" s="95"/>
      <c r="L4" s="95"/>
      <c r="M4" s="95"/>
    </row>
    <row r="5" spans="1:13">
      <c r="A5" s="95"/>
      <c r="B5" s="95"/>
      <c r="C5" s="95"/>
      <c r="D5" s="95"/>
      <c r="E5" s="95"/>
      <c r="F5" s="95"/>
      <c r="G5" s="95"/>
      <c r="H5" s="95"/>
      <c r="I5" s="95"/>
      <c r="J5" s="95"/>
      <c r="K5" s="95"/>
      <c r="L5" s="95"/>
      <c r="M5" s="95"/>
    </row>
    <row r="6" spans="1:13">
      <c r="A6" s="95"/>
      <c r="B6" s="95"/>
      <c r="C6" s="95"/>
      <c r="D6" s="95"/>
      <c r="E6" s="95"/>
      <c r="F6" s="95"/>
      <c r="G6" s="95"/>
      <c r="H6" s="95"/>
      <c r="I6" s="95"/>
      <c r="J6" s="95"/>
      <c r="K6" s="95"/>
      <c r="L6" s="95"/>
      <c r="M6" s="95"/>
    </row>
    <row r="7" spans="1:13">
      <c r="A7" s="95"/>
      <c r="B7" s="95"/>
      <c r="C7" s="95"/>
      <c r="D7" s="95"/>
      <c r="E7" s="95"/>
      <c r="F7" s="95"/>
      <c r="G7" s="95"/>
      <c r="H7" s="95"/>
      <c r="I7" s="95"/>
      <c r="J7" s="95"/>
      <c r="K7" s="95"/>
      <c r="L7" s="95"/>
      <c r="M7" s="95"/>
    </row>
    <row r="8" spans="1:13">
      <c r="A8" s="95"/>
      <c r="B8" s="95"/>
      <c r="C8" s="95"/>
      <c r="D8" s="95"/>
      <c r="E8" s="95"/>
      <c r="F8" s="95"/>
      <c r="G8" s="95"/>
      <c r="H8" s="95"/>
      <c r="I8" s="95"/>
      <c r="J8" s="95"/>
      <c r="K8" s="95"/>
      <c r="L8" s="95"/>
      <c r="M8" s="95"/>
    </row>
    <row r="9" spans="1:13">
      <c r="A9" s="95"/>
      <c r="B9" s="95"/>
      <c r="C9" s="95"/>
      <c r="D9" s="95"/>
      <c r="E9" s="95"/>
      <c r="F9" s="95"/>
      <c r="G9" s="95"/>
      <c r="H9" s="95"/>
      <c r="I9" s="95"/>
      <c r="J9" s="95"/>
      <c r="K9" s="95"/>
      <c r="L9" s="95"/>
      <c r="M9" s="95"/>
    </row>
    <row r="10" spans="1:13">
      <c r="A10" s="95"/>
      <c r="B10" s="95"/>
      <c r="C10" s="95"/>
      <c r="D10" s="95"/>
      <c r="E10" s="95"/>
      <c r="F10" s="95"/>
      <c r="G10" s="95"/>
      <c r="H10" s="95"/>
      <c r="I10" s="95"/>
      <c r="J10" s="95"/>
      <c r="K10" s="95"/>
      <c r="L10" s="95"/>
      <c r="M10" s="95"/>
    </row>
    <row r="11" spans="1:13">
      <c r="A11" s="95"/>
      <c r="B11" s="95"/>
      <c r="C11" s="95"/>
      <c r="D11" s="95"/>
      <c r="E11" s="95"/>
      <c r="F11" s="95"/>
      <c r="G11" s="95"/>
      <c r="H11" s="95"/>
      <c r="I11" s="95"/>
      <c r="J11" s="95"/>
      <c r="K11" s="95"/>
      <c r="L11" s="95"/>
      <c r="M11" s="95"/>
    </row>
    <row r="12" spans="1:13">
      <c r="A12" s="95"/>
      <c r="B12" s="95"/>
      <c r="C12" s="95"/>
      <c r="D12" s="95"/>
      <c r="E12" s="95"/>
      <c r="F12" s="95"/>
      <c r="G12" s="95"/>
      <c r="H12" s="95"/>
      <c r="I12" s="95"/>
      <c r="J12" s="95"/>
      <c r="K12" s="95"/>
      <c r="L12" s="95"/>
      <c r="M12" s="95"/>
    </row>
    <row r="13" spans="1:13">
      <c r="A13" s="95"/>
      <c r="B13" s="95"/>
      <c r="C13" s="95"/>
      <c r="D13" s="95"/>
      <c r="E13" s="95"/>
      <c r="F13" s="95"/>
      <c r="G13" s="95"/>
      <c r="H13" s="95"/>
      <c r="I13" s="95"/>
      <c r="J13" s="95"/>
      <c r="K13" s="95"/>
      <c r="L13" s="95"/>
      <c r="M13" s="95"/>
    </row>
    <row r="14" spans="1:13">
      <c r="A14" s="95"/>
      <c r="B14" s="95"/>
      <c r="C14" s="95"/>
      <c r="D14" s="95"/>
      <c r="E14" s="95"/>
      <c r="F14" s="95"/>
      <c r="G14" s="95"/>
      <c r="H14" s="95"/>
      <c r="I14" s="95"/>
      <c r="J14" s="95"/>
      <c r="K14" s="95"/>
      <c r="L14" s="95"/>
      <c r="M14" s="95"/>
    </row>
    <row r="15" spans="1:13">
      <c r="A15" s="95"/>
      <c r="B15" s="95"/>
      <c r="C15" s="95"/>
      <c r="D15" s="95"/>
      <c r="E15" s="95"/>
      <c r="F15" s="95"/>
      <c r="G15" s="95"/>
      <c r="H15" s="95"/>
      <c r="I15" s="95"/>
      <c r="J15" s="95"/>
      <c r="K15" s="95"/>
      <c r="L15" s="95"/>
      <c r="M15" s="95"/>
    </row>
    <row r="16" spans="1:13">
      <c r="A16" s="95"/>
      <c r="B16" s="95"/>
      <c r="C16" s="95"/>
      <c r="D16" s="95"/>
      <c r="E16" s="95"/>
      <c r="F16" s="95"/>
      <c r="G16" s="95"/>
      <c r="H16" s="95"/>
      <c r="I16" s="95"/>
      <c r="J16" s="95"/>
      <c r="K16" s="95"/>
      <c r="L16" s="95"/>
      <c r="M16" s="95"/>
    </row>
    <row r="17" spans="1:13">
      <c r="A17" s="95"/>
      <c r="B17" s="95"/>
      <c r="C17" s="95"/>
      <c r="D17" s="95"/>
      <c r="E17" s="95"/>
      <c r="F17" s="95"/>
      <c r="G17" s="95"/>
      <c r="H17" s="95"/>
      <c r="I17" s="95"/>
      <c r="J17" s="95"/>
      <c r="K17" s="95"/>
      <c r="L17" s="95"/>
      <c r="M17" s="95"/>
    </row>
    <row r="18" spans="1:13">
      <c r="A18" s="95"/>
      <c r="B18" s="95"/>
      <c r="C18" s="95"/>
      <c r="D18" s="95"/>
      <c r="E18" s="95"/>
      <c r="F18" s="95"/>
      <c r="G18" s="95"/>
      <c r="H18" s="95"/>
      <c r="I18" s="95"/>
      <c r="J18" s="95"/>
      <c r="K18" s="95"/>
      <c r="L18" s="95"/>
      <c r="M18" s="95"/>
    </row>
    <row r="19" spans="1:13">
      <c r="A19" s="95"/>
      <c r="B19" s="95"/>
      <c r="C19" s="95"/>
      <c r="D19" s="95"/>
      <c r="E19" s="95"/>
      <c r="F19" s="95"/>
      <c r="G19" s="95"/>
      <c r="H19" s="95"/>
      <c r="I19" s="95"/>
      <c r="J19" s="95"/>
      <c r="K19" s="95"/>
      <c r="L19" s="95"/>
      <c r="M19" s="95"/>
    </row>
    <row r="20" spans="1:13">
      <c r="A20" s="95"/>
      <c r="B20" s="95"/>
      <c r="C20" s="95"/>
      <c r="D20" s="95"/>
      <c r="E20" s="95"/>
      <c r="F20" s="95"/>
      <c r="G20" s="95"/>
      <c r="H20" s="95"/>
      <c r="I20" s="95"/>
      <c r="J20" s="95"/>
      <c r="K20" s="95"/>
      <c r="L20" s="95"/>
      <c r="M20" s="95"/>
    </row>
    <row r="21" spans="1:13">
      <c r="A21" s="95"/>
      <c r="B21" s="95"/>
      <c r="C21" s="95"/>
      <c r="D21" s="95"/>
      <c r="E21" s="95"/>
      <c r="F21" s="95"/>
      <c r="G21" s="95"/>
      <c r="H21" s="95"/>
      <c r="I21" s="95"/>
      <c r="J21" s="95"/>
      <c r="K21" s="95"/>
      <c r="L21" s="95"/>
      <c r="M21" s="95"/>
    </row>
    <row r="22" spans="1:13">
      <c r="A22" s="95"/>
      <c r="B22" s="95"/>
      <c r="C22" s="95"/>
      <c r="D22" s="95"/>
      <c r="E22" s="95"/>
      <c r="F22" s="95"/>
      <c r="G22" s="95"/>
      <c r="H22" s="95"/>
      <c r="I22" s="95"/>
      <c r="J22" s="95"/>
      <c r="K22" s="95"/>
      <c r="L22" s="95"/>
      <c r="M22" s="95"/>
    </row>
    <row r="23" spans="1:13">
      <c r="A23" s="95"/>
      <c r="B23" s="95"/>
      <c r="C23" s="95"/>
      <c r="D23" s="95"/>
      <c r="E23" s="95"/>
      <c r="F23" s="95"/>
      <c r="G23" s="95"/>
      <c r="H23" s="95"/>
      <c r="I23" s="95"/>
      <c r="J23" s="95"/>
      <c r="K23" s="95"/>
      <c r="L23" s="95"/>
      <c r="M23" s="95"/>
    </row>
    <row r="24" spans="1:13">
      <c r="A24" s="95"/>
      <c r="B24" s="95"/>
      <c r="C24" s="95"/>
      <c r="D24" s="95"/>
      <c r="E24" s="95"/>
      <c r="F24" s="95"/>
      <c r="G24" s="95"/>
      <c r="H24" s="95"/>
      <c r="I24" s="95"/>
      <c r="J24" s="95"/>
      <c r="K24" s="95"/>
      <c r="L24" s="95"/>
      <c r="M24" s="95"/>
    </row>
    <row r="25" spans="1:13">
      <c r="A25" s="95"/>
      <c r="B25" s="95"/>
      <c r="C25" s="95"/>
      <c r="D25" s="95"/>
      <c r="E25" s="95"/>
      <c r="F25" s="95"/>
      <c r="G25" s="95"/>
      <c r="H25" s="95"/>
      <c r="I25" s="95"/>
      <c r="J25" s="95"/>
      <c r="K25" s="95"/>
      <c r="L25" s="95"/>
      <c r="M25" s="95"/>
    </row>
    <row r="26" spans="1:13">
      <c r="A26" s="95"/>
      <c r="B26" s="95"/>
      <c r="C26" s="95"/>
      <c r="D26" s="95"/>
      <c r="E26" s="95"/>
      <c r="F26" s="95"/>
      <c r="G26" s="95"/>
      <c r="H26" s="95"/>
      <c r="I26" s="95"/>
      <c r="J26" s="95"/>
      <c r="K26" s="95"/>
      <c r="L26" s="95"/>
      <c r="M26" s="95"/>
    </row>
    <row r="27" spans="1:13">
      <c r="A27" s="95"/>
      <c r="B27" s="95"/>
      <c r="C27" s="95"/>
      <c r="D27" s="95"/>
      <c r="E27" s="95"/>
      <c r="F27" s="95"/>
      <c r="G27" s="95"/>
      <c r="H27" s="95"/>
      <c r="I27" s="95"/>
      <c r="J27" s="95"/>
      <c r="K27" s="95"/>
      <c r="L27" s="95"/>
      <c r="M27" s="95"/>
    </row>
    <row r="28" spans="1:13">
      <c r="A28" s="95"/>
      <c r="B28" s="95"/>
      <c r="C28" s="95"/>
      <c r="D28" s="95"/>
      <c r="E28" s="95"/>
      <c r="F28" s="95"/>
      <c r="G28" s="95"/>
      <c r="H28" s="95"/>
      <c r="I28" s="95"/>
      <c r="J28" s="95"/>
      <c r="K28" s="95"/>
      <c r="L28" s="95"/>
      <c r="M28" s="95"/>
    </row>
    <row r="29" spans="1:13">
      <c r="A29" s="95"/>
      <c r="B29" s="95"/>
      <c r="C29" s="95"/>
      <c r="D29" s="95"/>
      <c r="E29" s="95"/>
      <c r="F29" s="95"/>
      <c r="G29" s="95"/>
      <c r="H29" s="95"/>
      <c r="I29" s="95"/>
      <c r="J29" s="95"/>
      <c r="K29" s="95"/>
      <c r="L29" s="95"/>
      <c r="M29" s="95"/>
    </row>
    <row r="30" spans="1:13">
      <c r="A30" s="95"/>
      <c r="B30" s="95"/>
      <c r="C30" s="95"/>
      <c r="D30" s="95"/>
      <c r="E30" s="95"/>
      <c r="F30" s="95"/>
      <c r="G30" s="95"/>
      <c r="H30" s="95"/>
      <c r="I30" s="95"/>
      <c r="J30" s="95"/>
      <c r="K30" s="95"/>
      <c r="L30" s="95"/>
      <c r="M30" s="95"/>
    </row>
    <row r="31" spans="1:13">
      <c r="A31" s="95"/>
      <c r="B31" s="95"/>
      <c r="C31" s="95"/>
      <c r="D31" s="95"/>
      <c r="E31" s="95"/>
      <c r="F31" s="95"/>
      <c r="G31" s="95"/>
      <c r="H31" s="95"/>
      <c r="I31" s="95"/>
      <c r="J31" s="95"/>
      <c r="K31" s="95"/>
      <c r="L31" s="95"/>
      <c r="M31" s="95"/>
    </row>
    <row r="32" spans="1:13">
      <c r="A32" s="95"/>
      <c r="B32" s="95"/>
      <c r="C32" s="95"/>
      <c r="D32" s="95"/>
      <c r="E32" s="95"/>
      <c r="F32" s="95"/>
      <c r="G32" s="95"/>
      <c r="H32" s="95"/>
      <c r="I32" s="95"/>
      <c r="J32" s="95"/>
      <c r="K32" s="95"/>
      <c r="L32" s="95"/>
      <c r="M32" s="95"/>
    </row>
    <row r="33" spans="1:13">
      <c r="A33" s="95"/>
      <c r="B33" s="95"/>
      <c r="C33" s="95"/>
      <c r="D33" s="95"/>
      <c r="E33" s="95"/>
      <c r="F33" s="95"/>
      <c r="G33" s="95"/>
      <c r="H33" s="95"/>
      <c r="I33" s="95"/>
      <c r="J33" s="95"/>
      <c r="K33" s="95"/>
      <c r="L33" s="95"/>
      <c r="M33" s="95"/>
    </row>
    <row r="34" spans="1:13" ht="15.75">
      <c r="A34" s="1020" t="s">
        <v>47</v>
      </c>
      <c r="B34" s="1020"/>
      <c r="C34" s="1020"/>
      <c r="D34" s="1020"/>
      <c r="E34" s="1020"/>
      <c r="F34" s="1020"/>
      <c r="G34" s="1020"/>
      <c r="H34" s="1020"/>
      <c r="I34" s="1020"/>
      <c r="J34" s="1020"/>
      <c r="K34" s="1020"/>
      <c r="L34" s="1020"/>
      <c r="M34" s="1020"/>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18"/>
  <sheetViews>
    <sheetView rightToLeft="1" view="pageBreakPreview" zoomScaleNormal="100" zoomScaleSheetLayoutView="100" workbookViewId="0">
      <selection activeCell="H17" sqref="H17"/>
    </sheetView>
  </sheetViews>
  <sheetFormatPr defaultColWidth="9.140625" defaultRowHeight="12.75"/>
  <cols>
    <col min="1" max="1" width="13.85546875" style="1" customWidth="1"/>
    <col min="2" max="13" width="10.5703125" style="1" customWidth="1"/>
    <col min="14" max="14" width="13.85546875" style="1" customWidth="1"/>
    <col min="15" max="16384" width="9.140625" style="1"/>
  </cols>
  <sheetData>
    <row r="1" spans="1:15" ht="18">
      <c r="A1" s="1009" t="s">
        <v>573</v>
      </c>
      <c r="B1" s="1009"/>
      <c r="C1" s="1009"/>
      <c r="D1" s="1009"/>
      <c r="E1" s="1009"/>
      <c r="F1" s="1009"/>
      <c r="G1" s="1009"/>
      <c r="H1" s="1009"/>
      <c r="I1" s="1009"/>
      <c r="J1" s="1009"/>
      <c r="K1" s="1009"/>
      <c r="L1" s="1009"/>
      <c r="M1" s="1009"/>
      <c r="N1" s="1009"/>
    </row>
    <row r="2" spans="1:15" ht="33" customHeight="1">
      <c r="A2" s="1036" t="s">
        <v>550</v>
      </c>
      <c r="B2" s="1036"/>
      <c r="C2" s="1036"/>
      <c r="D2" s="1036"/>
      <c r="E2" s="1036"/>
      <c r="F2" s="1036"/>
      <c r="G2" s="1036"/>
      <c r="H2" s="1036"/>
      <c r="I2" s="1036"/>
      <c r="J2" s="1036"/>
      <c r="K2" s="1036"/>
      <c r="L2" s="1036"/>
      <c r="M2" s="1036"/>
      <c r="N2" s="1036"/>
    </row>
    <row r="3" spans="1:15" ht="15.75">
      <c r="A3" s="1037" t="s">
        <v>751</v>
      </c>
      <c r="B3" s="1037"/>
      <c r="C3" s="1037"/>
      <c r="D3" s="1037"/>
      <c r="E3" s="1037"/>
      <c r="F3" s="1037"/>
      <c r="G3" s="1037"/>
      <c r="H3" s="1037"/>
      <c r="I3" s="1037"/>
      <c r="J3" s="1037"/>
      <c r="K3" s="1037"/>
      <c r="L3" s="1037"/>
      <c r="M3" s="1037"/>
      <c r="N3" s="1037"/>
    </row>
    <row r="4" spans="1:15" ht="15.75">
      <c r="A4" s="1037"/>
      <c r="B4" s="1037"/>
      <c r="C4" s="1037"/>
      <c r="D4" s="1037"/>
      <c r="E4" s="1037"/>
      <c r="F4" s="1037"/>
      <c r="G4" s="1037"/>
      <c r="H4" s="1037"/>
      <c r="I4" s="1037"/>
      <c r="J4" s="1037"/>
      <c r="K4" s="1037"/>
      <c r="L4" s="1037"/>
      <c r="M4" s="1037"/>
      <c r="N4" s="1037"/>
    </row>
    <row r="5" spans="1:15" ht="20.25" customHeight="1">
      <c r="A5" s="366" t="s">
        <v>66</v>
      </c>
      <c r="B5" s="363"/>
      <c r="C5" s="367"/>
      <c r="D5" s="367"/>
      <c r="E5" s="368"/>
      <c r="F5" s="363"/>
      <c r="G5" s="367"/>
      <c r="H5" s="367"/>
      <c r="I5" s="368"/>
      <c r="J5" s="363"/>
      <c r="K5" s="367"/>
      <c r="L5" s="367"/>
      <c r="M5" s="368"/>
      <c r="N5" s="369" t="s">
        <v>393</v>
      </c>
      <c r="O5" s="39"/>
    </row>
    <row r="6" spans="1:15" ht="30.75" customHeight="1">
      <c r="A6" s="1046" t="s">
        <v>31</v>
      </c>
      <c r="B6" s="1043" t="s">
        <v>53</v>
      </c>
      <c r="C6" s="1043"/>
      <c r="D6" s="1043"/>
      <c r="E6" s="1043"/>
      <c r="F6" s="1043" t="s">
        <v>52</v>
      </c>
      <c r="G6" s="1043"/>
      <c r="H6" s="1043"/>
      <c r="I6" s="1043"/>
      <c r="J6" s="1043" t="s">
        <v>1</v>
      </c>
      <c r="K6" s="1043"/>
      <c r="L6" s="1043"/>
      <c r="M6" s="1043"/>
      <c r="N6" s="1044" t="s">
        <v>29</v>
      </c>
    </row>
    <row r="7" spans="1:15" ht="30.75" customHeight="1">
      <c r="A7" s="1046"/>
      <c r="B7" s="1043" t="s">
        <v>51</v>
      </c>
      <c r="C7" s="1043"/>
      <c r="D7" s="1043" t="s">
        <v>50</v>
      </c>
      <c r="E7" s="1043"/>
      <c r="F7" s="1043" t="s">
        <v>51</v>
      </c>
      <c r="G7" s="1043"/>
      <c r="H7" s="1043" t="s">
        <v>50</v>
      </c>
      <c r="I7" s="1043"/>
      <c r="J7" s="1043" t="s">
        <v>51</v>
      </c>
      <c r="K7" s="1043"/>
      <c r="L7" s="1043" t="s">
        <v>50</v>
      </c>
      <c r="M7" s="1043"/>
      <c r="N7" s="1044"/>
    </row>
    <row r="8" spans="1:15" ht="66.75" customHeight="1">
      <c r="A8" s="1047"/>
      <c r="B8" s="400" t="s">
        <v>49</v>
      </c>
      <c r="C8" s="400" t="s">
        <v>48</v>
      </c>
      <c r="D8" s="400" t="s">
        <v>49</v>
      </c>
      <c r="E8" s="400" t="s">
        <v>48</v>
      </c>
      <c r="F8" s="400" t="s">
        <v>49</v>
      </c>
      <c r="G8" s="400" t="s">
        <v>48</v>
      </c>
      <c r="H8" s="400" t="s">
        <v>49</v>
      </c>
      <c r="I8" s="400" t="s">
        <v>48</v>
      </c>
      <c r="J8" s="400" t="s">
        <v>49</v>
      </c>
      <c r="K8" s="400" t="s">
        <v>48</v>
      </c>
      <c r="L8" s="400" t="s">
        <v>49</v>
      </c>
      <c r="M8" s="400" t="s">
        <v>48</v>
      </c>
      <c r="N8" s="1045"/>
    </row>
    <row r="9" spans="1:15" ht="24.95" customHeight="1" thickBot="1">
      <c r="A9" s="569">
        <v>2010</v>
      </c>
      <c r="B9" s="570">
        <v>1752</v>
      </c>
      <c r="C9" s="571">
        <v>24.2</v>
      </c>
      <c r="D9" s="570">
        <v>1775</v>
      </c>
      <c r="E9" s="571">
        <v>23.5</v>
      </c>
      <c r="F9" s="570">
        <v>1225</v>
      </c>
      <c r="G9" s="571">
        <v>1.1000000000000001</v>
      </c>
      <c r="H9" s="570">
        <v>1202</v>
      </c>
      <c r="I9" s="571">
        <v>5.2</v>
      </c>
      <c r="J9" s="572">
        <f t="shared" ref="J9:J14" si="0">F9+B9</f>
        <v>2977</v>
      </c>
      <c r="K9" s="573">
        <v>2.5</v>
      </c>
      <c r="L9" s="572">
        <f t="shared" ref="L9:L16" si="1">H9+D9</f>
        <v>2977</v>
      </c>
      <c r="M9" s="573">
        <v>9.5</v>
      </c>
      <c r="N9" s="574">
        <v>2010</v>
      </c>
    </row>
    <row r="10" spans="1:15" ht="24.95" customHeight="1" thickBot="1">
      <c r="A10" s="19">
        <v>2011</v>
      </c>
      <c r="B10" s="34">
        <v>1898</v>
      </c>
      <c r="C10" s="38">
        <v>25.3</v>
      </c>
      <c r="D10" s="34">
        <v>1925</v>
      </c>
      <c r="E10" s="38">
        <v>24.2</v>
      </c>
      <c r="F10" s="34">
        <v>1395</v>
      </c>
      <c r="G10" s="38">
        <v>1.3</v>
      </c>
      <c r="H10" s="34">
        <v>1368</v>
      </c>
      <c r="I10" s="38">
        <v>5.7</v>
      </c>
      <c r="J10" s="567">
        <f t="shared" si="0"/>
        <v>3293</v>
      </c>
      <c r="K10" s="476">
        <v>2.8</v>
      </c>
      <c r="L10" s="567">
        <f t="shared" si="1"/>
        <v>3293</v>
      </c>
      <c r="M10" s="476">
        <v>10.3</v>
      </c>
      <c r="N10" s="17">
        <v>2011</v>
      </c>
    </row>
    <row r="11" spans="1:15" ht="24.95" customHeight="1" thickBot="1">
      <c r="A11" s="569">
        <v>2012</v>
      </c>
      <c r="B11" s="570">
        <v>2053</v>
      </c>
      <c r="C11" s="571">
        <v>26.3</v>
      </c>
      <c r="D11" s="570">
        <v>2067</v>
      </c>
      <c r="E11" s="571">
        <v>25.1</v>
      </c>
      <c r="F11" s="570">
        <v>1479</v>
      </c>
      <c r="G11" s="571">
        <v>1.3</v>
      </c>
      <c r="H11" s="570">
        <v>1465</v>
      </c>
      <c r="I11" s="571">
        <v>5.6</v>
      </c>
      <c r="J11" s="572">
        <f t="shared" si="0"/>
        <v>3532</v>
      </c>
      <c r="K11" s="573">
        <v>2.9</v>
      </c>
      <c r="L11" s="572">
        <f t="shared" si="1"/>
        <v>3532</v>
      </c>
      <c r="M11" s="573">
        <v>10.3</v>
      </c>
      <c r="N11" s="574">
        <v>2012</v>
      </c>
    </row>
    <row r="12" spans="1:15" ht="24.95" customHeight="1" thickBot="1">
      <c r="A12" s="19">
        <v>2013</v>
      </c>
      <c r="B12" s="34">
        <v>2072</v>
      </c>
      <c r="C12" s="38">
        <v>25.7</v>
      </c>
      <c r="D12" s="34">
        <v>2067</v>
      </c>
      <c r="E12" s="38">
        <v>24.2</v>
      </c>
      <c r="F12" s="34">
        <v>1547</v>
      </c>
      <c r="G12" s="38">
        <v>1.2</v>
      </c>
      <c r="H12" s="34">
        <v>1552</v>
      </c>
      <c r="I12" s="38">
        <v>5.2</v>
      </c>
      <c r="J12" s="567">
        <f t="shared" si="0"/>
        <v>3619</v>
      </c>
      <c r="K12" s="476">
        <v>2.7</v>
      </c>
      <c r="L12" s="567">
        <f t="shared" si="1"/>
        <v>3619</v>
      </c>
      <c r="M12" s="476">
        <v>9.5</v>
      </c>
      <c r="N12" s="17">
        <v>2013</v>
      </c>
    </row>
    <row r="13" spans="1:15" ht="24.95" customHeight="1" thickBot="1">
      <c r="A13" s="569">
        <v>2014</v>
      </c>
      <c r="B13" s="570">
        <v>2076</v>
      </c>
      <c r="C13" s="571">
        <v>24.986760387078139</v>
      </c>
      <c r="D13" s="570">
        <v>2047</v>
      </c>
      <c r="E13" s="571">
        <v>23.169475602440322</v>
      </c>
      <c r="F13" s="570">
        <v>1598</v>
      </c>
      <c r="G13" s="571">
        <v>1.1382123086478495</v>
      </c>
      <c r="H13" s="570">
        <v>1627</v>
      </c>
      <c r="I13" s="571">
        <v>5.105883534388612</v>
      </c>
      <c r="J13" s="572">
        <f t="shared" si="0"/>
        <v>3674</v>
      </c>
      <c r="K13" s="573">
        <v>2.4706800086077036</v>
      </c>
      <c r="L13" s="572">
        <f t="shared" si="1"/>
        <v>3674</v>
      </c>
      <c r="M13" s="573">
        <v>9.0270048476539362</v>
      </c>
      <c r="N13" s="574">
        <v>2014</v>
      </c>
    </row>
    <row r="14" spans="1:15" ht="24.95" customHeight="1" thickBot="1">
      <c r="A14" s="19">
        <v>2015</v>
      </c>
      <c r="B14" s="34">
        <v>2069</v>
      </c>
      <c r="C14" s="38">
        <v>24.085585900211871</v>
      </c>
      <c r="D14" s="34">
        <v>1993</v>
      </c>
      <c r="E14" s="38">
        <v>22.249014814070577</v>
      </c>
      <c r="F14" s="34">
        <v>1655</v>
      </c>
      <c r="G14" s="38">
        <v>1.0461527180691119</v>
      </c>
      <c r="H14" s="34">
        <v>1731</v>
      </c>
      <c r="I14" s="38">
        <v>5.0476920878665847</v>
      </c>
      <c r="J14" s="567">
        <f t="shared" si="0"/>
        <v>3724</v>
      </c>
      <c r="K14" s="476">
        <v>2.232762491988376</v>
      </c>
      <c r="L14" s="567">
        <f t="shared" si="1"/>
        <v>3724</v>
      </c>
      <c r="M14" s="476">
        <v>8.4345650696175323</v>
      </c>
      <c r="N14" s="17">
        <v>2015</v>
      </c>
    </row>
    <row r="15" spans="1:15" ht="24.95" customHeight="1" thickBot="1">
      <c r="A15" s="569">
        <v>2016</v>
      </c>
      <c r="B15" s="570">
        <v>2097</v>
      </c>
      <c r="C15" s="571">
        <v>23.760155001869542</v>
      </c>
      <c r="D15" s="570">
        <v>2042</v>
      </c>
      <c r="E15" s="571">
        <v>21.646031207598373</v>
      </c>
      <c r="F15" s="570">
        <v>1733</v>
      </c>
      <c r="G15" s="571">
        <v>1.01665066111625</v>
      </c>
      <c r="H15" s="570">
        <v>1788</v>
      </c>
      <c r="I15" s="571">
        <v>4.7997809495942469</v>
      </c>
      <c r="J15" s="572">
        <f>F15+B15</f>
        <v>3830</v>
      </c>
      <c r="K15" s="573">
        <v>2.1362348943651366</v>
      </c>
      <c r="L15" s="572">
        <f t="shared" si="1"/>
        <v>3830</v>
      </c>
      <c r="M15" s="573">
        <v>8.2038671701799064</v>
      </c>
      <c r="N15" s="574">
        <v>2016</v>
      </c>
    </row>
    <row r="16" spans="1:15" ht="24.95" customHeight="1" thickBot="1">
      <c r="A16" s="19">
        <v>2017</v>
      </c>
      <c r="B16" s="34">
        <v>2181</v>
      </c>
      <c r="C16" s="38">
        <v>23.949399892386925</v>
      </c>
      <c r="D16" s="34">
        <v>2090</v>
      </c>
      <c r="E16" s="38">
        <v>21.377575026082688</v>
      </c>
      <c r="F16" s="34">
        <v>1537</v>
      </c>
      <c r="G16" s="38">
        <v>0.9</v>
      </c>
      <c r="H16" s="34">
        <v>1628</v>
      </c>
      <c r="I16" s="38">
        <v>4.1044776119402986</v>
      </c>
      <c r="J16" s="567">
        <f>F16+B16</f>
        <v>3718</v>
      </c>
      <c r="K16" s="476">
        <v>2.0012487620031862</v>
      </c>
      <c r="L16" s="567">
        <f t="shared" si="1"/>
        <v>3718</v>
      </c>
      <c r="M16" s="476">
        <v>7.5201352734392382</v>
      </c>
      <c r="N16" s="17">
        <v>2017</v>
      </c>
    </row>
    <row r="17" spans="1:14" ht="24.95" customHeight="1" thickBot="1">
      <c r="A17" s="569">
        <v>2018</v>
      </c>
      <c r="B17" s="570">
        <v>2184</v>
      </c>
      <c r="C17" s="571">
        <v>23.318385650224215</v>
      </c>
      <c r="D17" s="570">
        <v>2019</v>
      </c>
      <c r="E17" s="571">
        <v>20.091751335967121</v>
      </c>
      <c r="F17" s="570">
        <v>1574</v>
      </c>
      <c r="G17" s="571">
        <v>0.8951344834351781</v>
      </c>
      <c r="H17" s="570">
        <v>1739</v>
      </c>
      <c r="I17" s="571">
        <v>4.1168825327231797</v>
      </c>
      <c r="J17" s="572">
        <f>F17+B17</f>
        <v>3758</v>
      </c>
      <c r="K17" s="573">
        <v>2</v>
      </c>
      <c r="L17" s="572">
        <f>H17+D17</f>
        <v>3758</v>
      </c>
      <c r="M17" s="573">
        <v>7.2</v>
      </c>
      <c r="N17" s="574">
        <v>2018</v>
      </c>
    </row>
    <row r="18" spans="1:14" ht="24.95" customHeight="1">
      <c r="A18" s="470">
        <v>2019</v>
      </c>
      <c r="B18" s="471">
        <v>2077</v>
      </c>
      <c r="C18" s="472">
        <f>+B18/96576*1000</f>
        <v>21.50637839628893</v>
      </c>
      <c r="D18" s="471">
        <v>1972</v>
      </c>
      <c r="E18" s="472">
        <f>+D18/103513*1000</f>
        <v>19.050747249137789</v>
      </c>
      <c r="F18" s="471">
        <v>1544</v>
      </c>
      <c r="G18" s="472">
        <f>1544/1764547*1000</f>
        <v>0.87501211359062692</v>
      </c>
      <c r="H18" s="471">
        <v>1649</v>
      </c>
      <c r="I18" s="472">
        <f>1649/436131*1000</f>
        <v>3.7809740651318067</v>
      </c>
      <c r="J18" s="568">
        <f>F18+B18</f>
        <v>3621</v>
      </c>
      <c r="K18" s="477">
        <f>+J18/1861123*1000</f>
        <v>1.9455995116926716</v>
      </c>
      <c r="L18" s="568">
        <f>H18+D18</f>
        <v>3621</v>
      </c>
      <c r="M18" s="477">
        <f>+L18/539644*1000</f>
        <v>6.7099791714537735</v>
      </c>
      <c r="N18" s="473">
        <v>2019</v>
      </c>
    </row>
  </sheetData>
  <mergeCells count="15">
    <mergeCell ref="F7:G7"/>
    <mergeCell ref="H7:I7"/>
    <mergeCell ref="N6:N8"/>
    <mergeCell ref="A6:A8"/>
    <mergeCell ref="A1:N1"/>
    <mergeCell ref="A2:N2"/>
    <mergeCell ref="A3:N3"/>
    <mergeCell ref="A4:N4"/>
    <mergeCell ref="J7:K7"/>
    <mergeCell ref="L7:M7"/>
    <mergeCell ref="B6:E6"/>
    <mergeCell ref="F6:I6"/>
    <mergeCell ref="J6:M6"/>
    <mergeCell ref="B7:C7"/>
    <mergeCell ref="D7:E7"/>
  </mergeCells>
  <printOptions horizontalCentered="1" verticalCentered="1"/>
  <pageMargins left="0" right="0" top="0" bottom="0" header="0" footer="0"/>
  <pageSetup paperSize="9" scale="84" orientation="landscape" r:id="rId1"/>
  <headerFooter alignWithMargins="0"/>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34"/>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1" ht="26.25" customHeight="1"/>
    <row r="34" spans="1:13" ht="15.75">
      <c r="A34" s="1038" t="s">
        <v>55</v>
      </c>
      <c r="B34" s="1038"/>
      <c r="C34" s="1038"/>
      <c r="D34" s="1038"/>
      <c r="E34" s="1038"/>
      <c r="F34" s="1038"/>
      <c r="G34" s="1038"/>
      <c r="H34" s="1038"/>
      <c r="I34" s="1038"/>
      <c r="J34" s="1038"/>
      <c r="K34" s="1038"/>
      <c r="L34" s="1038"/>
      <c r="M34" s="1038"/>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31"/>
  <sheetViews>
    <sheetView rightToLeft="1" view="pageBreakPreview" topLeftCell="A22" zoomScaleNormal="100" zoomScaleSheetLayoutView="100" workbookViewId="0">
      <selection activeCell="V28" sqref="V28:W30"/>
    </sheetView>
  </sheetViews>
  <sheetFormatPr defaultColWidth="9.140625" defaultRowHeight="15"/>
  <cols>
    <col min="1" max="1" width="10.42578125" style="518" customWidth="1"/>
    <col min="2" max="2" width="7.42578125" style="518" bestFit="1" customWidth="1"/>
    <col min="3" max="3" width="6.140625" style="518" customWidth="1"/>
    <col min="4" max="6" width="6.85546875" style="518" customWidth="1"/>
    <col min="7" max="7" width="6.140625" style="518" customWidth="1"/>
    <col min="8" max="8" width="6.85546875" style="518" customWidth="1"/>
    <col min="9" max="9" width="6.140625" style="518" customWidth="1"/>
    <col min="10" max="10" width="6.85546875" style="518" customWidth="1"/>
    <col min="11" max="11" width="6.140625" style="518" customWidth="1"/>
    <col min="12" max="12" width="6.85546875" style="518" customWidth="1"/>
    <col min="13" max="13" width="6.140625" style="518" customWidth="1"/>
    <col min="14" max="14" width="6.85546875" style="518" customWidth="1"/>
    <col min="15" max="15" width="6.140625" style="518" customWidth="1"/>
    <col min="16" max="16" width="6.85546875" style="518" customWidth="1"/>
    <col min="17" max="17" width="6.140625" style="518" customWidth="1"/>
    <col min="18" max="18" width="6.85546875" style="518" customWidth="1"/>
    <col min="19" max="19" width="6.140625" style="518" customWidth="1"/>
    <col min="20" max="20" width="6.85546875" style="518" customWidth="1"/>
    <col min="21" max="23" width="7.42578125" style="518" customWidth="1"/>
    <col min="24" max="24" width="9.5703125" style="518" bestFit="1" customWidth="1"/>
    <col min="25" max="25" width="14.42578125" style="518" customWidth="1"/>
    <col min="26" max="16384" width="9.140625" style="518"/>
  </cols>
  <sheetData>
    <row r="1" spans="1:25" s="515" customFormat="1" ht="22.5" customHeight="1">
      <c r="A1" s="1048" t="s">
        <v>668</v>
      </c>
      <c r="B1" s="1048"/>
      <c r="C1" s="1048"/>
      <c r="D1" s="1048"/>
      <c r="E1" s="1048"/>
      <c r="F1" s="1048"/>
      <c r="G1" s="1048"/>
      <c r="H1" s="1048"/>
      <c r="I1" s="1048"/>
      <c r="J1" s="1048"/>
      <c r="K1" s="1048"/>
      <c r="L1" s="1048"/>
      <c r="M1" s="1048"/>
      <c r="N1" s="1048"/>
      <c r="O1" s="1048"/>
      <c r="P1" s="1048"/>
      <c r="Q1" s="1048"/>
      <c r="R1" s="1048"/>
      <c r="S1" s="1048"/>
      <c r="T1" s="1048"/>
      <c r="U1" s="1048"/>
      <c r="V1" s="1048"/>
      <c r="W1" s="1048"/>
      <c r="X1" s="1048"/>
      <c r="Y1" s="1048"/>
    </row>
    <row r="2" spans="1:25" s="515" customFormat="1" ht="18">
      <c r="A2" s="1049" t="s">
        <v>669</v>
      </c>
      <c r="B2" s="1049"/>
      <c r="C2" s="1049"/>
      <c r="D2" s="1049"/>
      <c r="E2" s="1049"/>
      <c r="F2" s="1049"/>
      <c r="G2" s="1049"/>
      <c r="H2" s="1049"/>
      <c r="I2" s="1049"/>
      <c r="J2" s="1049"/>
      <c r="K2" s="1049"/>
      <c r="L2" s="1049"/>
      <c r="M2" s="1049"/>
      <c r="N2" s="1049"/>
      <c r="O2" s="1049"/>
      <c r="P2" s="1049"/>
      <c r="Q2" s="1049"/>
      <c r="R2" s="1049"/>
      <c r="S2" s="1049"/>
      <c r="T2" s="1049"/>
      <c r="U2" s="1049"/>
      <c r="V2" s="1049"/>
      <c r="W2" s="1049"/>
      <c r="X2" s="1049"/>
      <c r="Y2" s="1049"/>
    </row>
    <row r="3" spans="1:25" s="514" customFormat="1" ht="15.75">
      <c r="A3" s="1050">
        <v>2019</v>
      </c>
      <c r="B3" s="1050"/>
      <c r="C3" s="1050"/>
      <c r="D3" s="1050"/>
      <c r="E3" s="1050"/>
      <c r="F3" s="1050"/>
      <c r="G3" s="1050"/>
      <c r="H3" s="1050"/>
      <c r="I3" s="1050"/>
      <c r="J3" s="1050"/>
      <c r="K3" s="1050"/>
      <c r="L3" s="1050"/>
      <c r="M3" s="1050"/>
      <c r="N3" s="1050"/>
      <c r="O3" s="1050"/>
      <c r="P3" s="1050"/>
      <c r="Q3" s="1050"/>
      <c r="R3" s="1050"/>
      <c r="S3" s="1050"/>
      <c r="T3" s="1050"/>
      <c r="U3" s="1050"/>
      <c r="V3" s="1050"/>
      <c r="W3" s="1050"/>
      <c r="X3" s="1050"/>
      <c r="Y3" s="1050"/>
    </row>
    <row r="4" spans="1:25" s="514" customFormat="1" ht="15.75">
      <c r="A4" s="550"/>
      <c r="B4" s="550"/>
      <c r="C4" s="550"/>
      <c r="D4" s="550"/>
      <c r="E4" s="550"/>
      <c r="F4" s="550"/>
      <c r="G4" s="550"/>
      <c r="H4" s="550"/>
      <c r="I4" s="550"/>
      <c r="J4" s="550"/>
      <c r="K4" s="550"/>
      <c r="L4" s="550"/>
      <c r="M4" s="550"/>
      <c r="N4" s="550"/>
      <c r="O4" s="550"/>
      <c r="P4" s="550"/>
      <c r="Q4" s="550"/>
      <c r="R4" s="550"/>
      <c r="S4" s="550"/>
      <c r="T4" s="550"/>
      <c r="U4" s="550"/>
      <c r="V4" s="550"/>
      <c r="W4" s="550"/>
      <c r="X4" s="550"/>
      <c r="Y4" s="550"/>
    </row>
    <row r="5" spans="1:25" s="517" customFormat="1" ht="15.75">
      <c r="A5" s="516" t="s">
        <v>599</v>
      </c>
      <c r="B5" s="516"/>
      <c r="C5" s="516"/>
      <c r="D5" s="516"/>
      <c r="E5" s="516"/>
      <c r="F5" s="516"/>
      <c r="G5" s="516"/>
      <c r="H5" s="516"/>
      <c r="I5" s="516"/>
      <c r="J5" s="516"/>
      <c r="K5" s="516"/>
      <c r="L5" s="516"/>
      <c r="M5" s="516"/>
      <c r="O5" s="521"/>
      <c r="P5" s="521"/>
      <c r="Q5" s="521"/>
      <c r="R5" s="521"/>
      <c r="S5" s="521"/>
      <c r="T5" s="521"/>
      <c r="U5" s="522"/>
      <c r="V5" s="522"/>
      <c r="W5" s="522"/>
      <c r="X5" s="522"/>
      <c r="Y5" s="551" t="s">
        <v>598</v>
      </c>
    </row>
    <row r="6" spans="1:25" ht="25.9" customHeight="1">
      <c r="A6" s="1051" t="s">
        <v>576</v>
      </c>
      <c r="B6" s="1052"/>
      <c r="C6" s="1057" t="s">
        <v>597</v>
      </c>
      <c r="D6" s="1057"/>
      <c r="E6" s="1057"/>
      <c r="F6" s="1057"/>
      <c r="G6" s="1057"/>
      <c r="H6" s="1057"/>
      <c r="I6" s="1057"/>
      <c r="J6" s="1057"/>
      <c r="K6" s="1057"/>
      <c r="L6" s="1057"/>
      <c r="M6" s="1057"/>
      <c r="N6" s="1058" t="s">
        <v>685</v>
      </c>
      <c r="O6" s="1058"/>
      <c r="P6" s="1058"/>
      <c r="Q6" s="1058"/>
      <c r="R6" s="1058"/>
      <c r="S6" s="1058"/>
      <c r="T6" s="1058"/>
      <c r="U6" s="1058"/>
      <c r="V6" s="1058"/>
      <c r="W6" s="1058"/>
      <c r="X6" s="1059" t="s">
        <v>684</v>
      </c>
      <c r="Y6" s="1060"/>
    </row>
    <row r="7" spans="1:25" s="519" customFormat="1" ht="34.9" customHeight="1">
      <c r="A7" s="1053"/>
      <c r="B7" s="1054"/>
      <c r="C7" s="1065" t="s">
        <v>675</v>
      </c>
      <c r="D7" s="1066"/>
      <c r="E7" s="1066" t="s">
        <v>676</v>
      </c>
      <c r="F7" s="1066"/>
      <c r="G7" s="1066" t="s">
        <v>677</v>
      </c>
      <c r="H7" s="1066"/>
      <c r="I7" s="1066" t="s">
        <v>1252</v>
      </c>
      <c r="J7" s="1066"/>
      <c r="K7" s="1066" t="s">
        <v>679</v>
      </c>
      <c r="L7" s="1066"/>
      <c r="M7" s="1066" t="s">
        <v>680</v>
      </c>
      <c r="N7" s="1066"/>
      <c r="O7" s="1066" t="s">
        <v>681</v>
      </c>
      <c r="P7" s="1066"/>
      <c r="Q7" s="1066" t="s">
        <v>682</v>
      </c>
      <c r="R7" s="1066"/>
      <c r="S7" s="1066" t="s">
        <v>683</v>
      </c>
      <c r="T7" s="1066"/>
      <c r="U7" s="1066" t="s">
        <v>461</v>
      </c>
      <c r="V7" s="1066"/>
      <c r="W7" s="1067"/>
      <c r="X7" s="1061"/>
      <c r="Y7" s="1062"/>
    </row>
    <row r="8" spans="1:25" s="519" customFormat="1" ht="25.5">
      <c r="A8" s="1053"/>
      <c r="B8" s="1054"/>
      <c r="C8" s="547" t="s">
        <v>673</v>
      </c>
      <c r="D8" s="547" t="s">
        <v>674</v>
      </c>
      <c r="E8" s="547" t="s">
        <v>673</v>
      </c>
      <c r="F8" s="547" t="s">
        <v>674</v>
      </c>
      <c r="G8" s="547" t="s">
        <v>673</v>
      </c>
      <c r="H8" s="547" t="s">
        <v>674</v>
      </c>
      <c r="I8" s="547" t="s">
        <v>673</v>
      </c>
      <c r="J8" s="547" t="s">
        <v>674</v>
      </c>
      <c r="K8" s="547" t="s">
        <v>673</v>
      </c>
      <c r="L8" s="547" t="s">
        <v>674</v>
      </c>
      <c r="M8" s="547" t="s">
        <v>673</v>
      </c>
      <c r="N8" s="547" t="s">
        <v>674</v>
      </c>
      <c r="O8" s="547" t="s">
        <v>673</v>
      </c>
      <c r="P8" s="547" t="s">
        <v>674</v>
      </c>
      <c r="Q8" s="547" t="s">
        <v>673</v>
      </c>
      <c r="R8" s="547" t="s">
        <v>674</v>
      </c>
      <c r="S8" s="547" t="s">
        <v>673</v>
      </c>
      <c r="T8" s="547" t="s">
        <v>674</v>
      </c>
      <c r="U8" s="547" t="s">
        <v>673</v>
      </c>
      <c r="V8" s="547" t="s">
        <v>674</v>
      </c>
      <c r="W8" s="547" t="s">
        <v>17</v>
      </c>
      <c r="X8" s="1061"/>
      <c r="Y8" s="1062"/>
    </row>
    <row r="9" spans="1:25" ht="22.5">
      <c r="A9" s="1055"/>
      <c r="B9" s="1056"/>
      <c r="C9" s="548" t="s">
        <v>592</v>
      </c>
      <c r="D9" s="548" t="s">
        <v>594</v>
      </c>
      <c r="E9" s="548" t="s">
        <v>592</v>
      </c>
      <c r="F9" s="548" t="s">
        <v>594</v>
      </c>
      <c r="G9" s="548" t="s">
        <v>592</v>
      </c>
      <c r="H9" s="548" t="s">
        <v>594</v>
      </c>
      <c r="I9" s="548" t="s">
        <v>592</v>
      </c>
      <c r="J9" s="548" t="s">
        <v>594</v>
      </c>
      <c r="K9" s="548" t="s">
        <v>592</v>
      </c>
      <c r="L9" s="548" t="s">
        <v>594</v>
      </c>
      <c r="M9" s="548" t="s">
        <v>592</v>
      </c>
      <c r="N9" s="548" t="s">
        <v>594</v>
      </c>
      <c r="O9" s="548" t="s">
        <v>592</v>
      </c>
      <c r="P9" s="548" t="s">
        <v>594</v>
      </c>
      <c r="Q9" s="548" t="s">
        <v>592</v>
      </c>
      <c r="R9" s="548" t="s">
        <v>594</v>
      </c>
      <c r="S9" s="548" t="s">
        <v>592</v>
      </c>
      <c r="T9" s="548" t="s">
        <v>594</v>
      </c>
      <c r="U9" s="548" t="s">
        <v>592</v>
      </c>
      <c r="V9" s="548" t="s">
        <v>594</v>
      </c>
      <c r="W9" s="548" t="s">
        <v>56</v>
      </c>
      <c r="X9" s="1063"/>
      <c r="Y9" s="1064"/>
    </row>
    <row r="10" spans="1:25" ht="21.6" customHeight="1" thickBot="1">
      <c r="A10" s="1068" t="s">
        <v>442</v>
      </c>
      <c r="B10" s="601" t="s">
        <v>591</v>
      </c>
      <c r="C10" s="735">
        <v>176</v>
      </c>
      <c r="D10" s="735">
        <v>20</v>
      </c>
      <c r="E10" s="735">
        <v>135</v>
      </c>
      <c r="F10" s="735">
        <v>12</v>
      </c>
      <c r="G10" s="735">
        <v>4</v>
      </c>
      <c r="H10" s="735">
        <v>0</v>
      </c>
      <c r="I10" s="735">
        <v>41</v>
      </c>
      <c r="J10" s="735">
        <v>4</v>
      </c>
      <c r="K10" s="735">
        <v>15</v>
      </c>
      <c r="L10" s="735">
        <v>1</v>
      </c>
      <c r="M10" s="735">
        <v>8</v>
      </c>
      <c r="N10" s="735">
        <v>0</v>
      </c>
      <c r="O10" s="735">
        <v>3</v>
      </c>
      <c r="P10" s="735">
        <v>0</v>
      </c>
      <c r="Q10" s="735">
        <v>45</v>
      </c>
      <c r="R10" s="735">
        <v>4</v>
      </c>
      <c r="S10" s="735">
        <v>0</v>
      </c>
      <c r="T10" s="735">
        <v>6</v>
      </c>
      <c r="U10" s="729">
        <f>C10+E10+G10+I10+K10+M10+O10+Q10+S10</f>
        <v>427</v>
      </c>
      <c r="V10" s="729">
        <f>D10+F10+H10+J10+L10+N10+P10+R10+T10</f>
        <v>47</v>
      </c>
      <c r="W10" s="729">
        <f>V10+U10</f>
        <v>474</v>
      </c>
      <c r="X10" s="602" t="s">
        <v>592</v>
      </c>
      <c r="Y10" s="1070" t="s">
        <v>63</v>
      </c>
    </row>
    <row r="11" spans="1:25" ht="21.6" customHeight="1" thickBot="1">
      <c r="A11" s="1069"/>
      <c r="B11" s="526" t="s">
        <v>593</v>
      </c>
      <c r="C11" s="607">
        <v>7</v>
      </c>
      <c r="D11" s="607">
        <v>361</v>
      </c>
      <c r="E11" s="607">
        <v>7</v>
      </c>
      <c r="F11" s="607">
        <v>137</v>
      </c>
      <c r="G11" s="607">
        <v>2</v>
      </c>
      <c r="H11" s="607">
        <v>5</v>
      </c>
      <c r="I11" s="607">
        <v>1</v>
      </c>
      <c r="J11" s="607">
        <v>37</v>
      </c>
      <c r="K11" s="607">
        <v>2</v>
      </c>
      <c r="L11" s="607">
        <v>18</v>
      </c>
      <c r="M11" s="607">
        <v>1</v>
      </c>
      <c r="N11" s="607">
        <v>4</v>
      </c>
      <c r="O11" s="607">
        <v>0</v>
      </c>
      <c r="P11" s="607">
        <v>1</v>
      </c>
      <c r="Q11" s="607">
        <v>2</v>
      </c>
      <c r="R11" s="607">
        <v>16</v>
      </c>
      <c r="S11" s="607">
        <v>0</v>
      </c>
      <c r="T11" s="607">
        <v>7</v>
      </c>
      <c r="U11" s="730">
        <f t="shared" ref="U11:V27" si="0">C11+E11+G11+I11+K11+M11+O11+Q11+S11</f>
        <v>22</v>
      </c>
      <c r="V11" s="730">
        <f t="shared" si="0"/>
        <v>586</v>
      </c>
      <c r="W11" s="730">
        <f t="shared" ref="W11:W27" si="1">V11+U11</f>
        <v>608</v>
      </c>
      <c r="X11" s="535" t="s">
        <v>594</v>
      </c>
      <c r="Y11" s="1071"/>
    </row>
    <row r="12" spans="1:25" ht="21.6" customHeight="1" thickBot="1">
      <c r="A12" s="1072" t="s">
        <v>443</v>
      </c>
      <c r="B12" s="527" t="s">
        <v>591</v>
      </c>
      <c r="C12" s="608">
        <v>131</v>
      </c>
      <c r="D12" s="608">
        <v>10</v>
      </c>
      <c r="E12" s="608">
        <v>534</v>
      </c>
      <c r="F12" s="608">
        <v>48</v>
      </c>
      <c r="G12" s="608">
        <v>70</v>
      </c>
      <c r="H12" s="608">
        <v>6</v>
      </c>
      <c r="I12" s="608">
        <v>27</v>
      </c>
      <c r="J12" s="608">
        <v>5</v>
      </c>
      <c r="K12" s="608">
        <v>19</v>
      </c>
      <c r="L12" s="608">
        <v>5</v>
      </c>
      <c r="M12" s="608">
        <v>12</v>
      </c>
      <c r="N12" s="608">
        <v>3</v>
      </c>
      <c r="O12" s="608">
        <v>2</v>
      </c>
      <c r="P12" s="608">
        <v>0</v>
      </c>
      <c r="Q12" s="608">
        <v>49</v>
      </c>
      <c r="R12" s="608">
        <v>12</v>
      </c>
      <c r="S12" s="608">
        <v>2</v>
      </c>
      <c r="T12" s="608">
        <v>12</v>
      </c>
      <c r="U12" s="731">
        <f t="shared" si="0"/>
        <v>846</v>
      </c>
      <c r="V12" s="731">
        <f t="shared" si="0"/>
        <v>101</v>
      </c>
      <c r="W12" s="731">
        <f t="shared" si="1"/>
        <v>947</v>
      </c>
      <c r="X12" s="536" t="s">
        <v>592</v>
      </c>
      <c r="Y12" s="1073" t="s">
        <v>62</v>
      </c>
    </row>
    <row r="13" spans="1:25" ht="21.6" customHeight="1" thickBot="1">
      <c r="A13" s="1072"/>
      <c r="B13" s="527" t="s">
        <v>593</v>
      </c>
      <c r="C13" s="608">
        <v>2</v>
      </c>
      <c r="D13" s="608">
        <v>128</v>
      </c>
      <c r="E13" s="608">
        <v>22</v>
      </c>
      <c r="F13" s="608">
        <v>281</v>
      </c>
      <c r="G13" s="608">
        <v>1</v>
      </c>
      <c r="H13" s="608">
        <v>5</v>
      </c>
      <c r="I13" s="608">
        <v>1</v>
      </c>
      <c r="J13" s="608">
        <v>25</v>
      </c>
      <c r="K13" s="608">
        <v>3</v>
      </c>
      <c r="L13" s="608">
        <v>15</v>
      </c>
      <c r="M13" s="608">
        <v>0</v>
      </c>
      <c r="N13" s="608">
        <v>7</v>
      </c>
      <c r="O13" s="608">
        <v>0</v>
      </c>
      <c r="P13" s="608">
        <v>1</v>
      </c>
      <c r="Q13" s="608">
        <v>3</v>
      </c>
      <c r="R13" s="608">
        <v>16</v>
      </c>
      <c r="S13" s="608">
        <v>0</v>
      </c>
      <c r="T13" s="608">
        <v>2</v>
      </c>
      <c r="U13" s="731">
        <f t="shared" si="0"/>
        <v>32</v>
      </c>
      <c r="V13" s="731">
        <f t="shared" si="0"/>
        <v>480</v>
      </c>
      <c r="W13" s="731">
        <f t="shared" si="1"/>
        <v>512</v>
      </c>
      <c r="X13" s="536" t="s">
        <v>594</v>
      </c>
      <c r="Y13" s="1073"/>
    </row>
    <row r="14" spans="1:25" ht="21.6" customHeight="1" thickBot="1">
      <c r="A14" s="1069" t="s">
        <v>444</v>
      </c>
      <c r="B14" s="526" t="s">
        <v>591</v>
      </c>
      <c r="C14" s="607">
        <v>3</v>
      </c>
      <c r="D14" s="607">
        <v>0</v>
      </c>
      <c r="E14" s="607">
        <v>86</v>
      </c>
      <c r="F14" s="607">
        <v>5</v>
      </c>
      <c r="G14" s="607">
        <v>92</v>
      </c>
      <c r="H14" s="607">
        <v>10</v>
      </c>
      <c r="I14" s="607">
        <v>4</v>
      </c>
      <c r="J14" s="607">
        <v>1</v>
      </c>
      <c r="K14" s="607">
        <v>5</v>
      </c>
      <c r="L14" s="607">
        <v>0</v>
      </c>
      <c r="M14" s="607">
        <v>0</v>
      </c>
      <c r="N14" s="607">
        <v>0</v>
      </c>
      <c r="O14" s="607">
        <v>0</v>
      </c>
      <c r="P14" s="607">
        <v>0</v>
      </c>
      <c r="Q14" s="607">
        <v>1</v>
      </c>
      <c r="R14" s="607">
        <v>0</v>
      </c>
      <c r="S14" s="607">
        <v>0</v>
      </c>
      <c r="T14" s="607">
        <v>8</v>
      </c>
      <c r="U14" s="730">
        <f t="shared" si="0"/>
        <v>191</v>
      </c>
      <c r="V14" s="730">
        <f t="shared" si="0"/>
        <v>24</v>
      </c>
      <c r="W14" s="730">
        <f t="shared" si="1"/>
        <v>215</v>
      </c>
      <c r="X14" s="535" t="s">
        <v>592</v>
      </c>
      <c r="Y14" s="1071" t="s">
        <v>61</v>
      </c>
    </row>
    <row r="15" spans="1:25" ht="21.6" customHeight="1" thickBot="1">
      <c r="A15" s="1069"/>
      <c r="B15" s="526" t="s">
        <v>593</v>
      </c>
      <c r="C15" s="607">
        <v>0</v>
      </c>
      <c r="D15" s="607">
        <v>4</v>
      </c>
      <c r="E15" s="607">
        <v>3</v>
      </c>
      <c r="F15" s="607">
        <v>3</v>
      </c>
      <c r="G15" s="607">
        <v>7</v>
      </c>
      <c r="H15" s="607">
        <v>11</v>
      </c>
      <c r="I15" s="607">
        <v>0</v>
      </c>
      <c r="J15" s="607">
        <v>2</v>
      </c>
      <c r="K15" s="607">
        <v>0</v>
      </c>
      <c r="L15" s="607">
        <v>1</v>
      </c>
      <c r="M15" s="607">
        <v>0</v>
      </c>
      <c r="N15" s="607">
        <v>0</v>
      </c>
      <c r="O15" s="607">
        <v>0</v>
      </c>
      <c r="P15" s="607">
        <v>0</v>
      </c>
      <c r="Q15" s="607">
        <v>0</v>
      </c>
      <c r="R15" s="607">
        <v>2</v>
      </c>
      <c r="S15" s="607">
        <v>0</v>
      </c>
      <c r="T15" s="607">
        <v>1</v>
      </c>
      <c r="U15" s="730">
        <f t="shared" si="0"/>
        <v>10</v>
      </c>
      <c r="V15" s="730">
        <f t="shared" si="0"/>
        <v>24</v>
      </c>
      <c r="W15" s="730">
        <f t="shared" si="1"/>
        <v>34</v>
      </c>
      <c r="X15" s="535" t="s">
        <v>594</v>
      </c>
      <c r="Y15" s="1071"/>
    </row>
    <row r="16" spans="1:25" ht="21.6" customHeight="1" thickBot="1">
      <c r="A16" s="1072" t="s">
        <v>445</v>
      </c>
      <c r="B16" s="527" t="s">
        <v>591</v>
      </c>
      <c r="C16" s="608">
        <v>21</v>
      </c>
      <c r="D16" s="608">
        <v>8</v>
      </c>
      <c r="E16" s="608">
        <v>31</v>
      </c>
      <c r="F16" s="608">
        <v>0</v>
      </c>
      <c r="G16" s="608">
        <v>5</v>
      </c>
      <c r="H16" s="608">
        <v>0</v>
      </c>
      <c r="I16" s="608">
        <v>45</v>
      </c>
      <c r="J16" s="608">
        <v>7</v>
      </c>
      <c r="K16" s="608">
        <v>2</v>
      </c>
      <c r="L16" s="608">
        <v>0</v>
      </c>
      <c r="M16" s="608">
        <v>2</v>
      </c>
      <c r="N16" s="608">
        <v>0</v>
      </c>
      <c r="O16" s="608">
        <v>1</v>
      </c>
      <c r="P16" s="608">
        <v>0</v>
      </c>
      <c r="Q16" s="608">
        <v>11</v>
      </c>
      <c r="R16" s="608">
        <v>0</v>
      </c>
      <c r="S16" s="608">
        <v>1</v>
      </c>
      <c r="T16" s="608">
        <v>3</v>
      </c>
      <c r="U16" s="731">
        <f t="shared" si="0"/>
        <v>119</v>
      </c>
      <c r="V16" s="731">
        <f t="shared" si="0"/>
        <v>18</v>
      </c>
      <c r="W16" s="731">
        <f t="shared" si="1"/>
        <v>137</v>
      </c>
      <c r="X16" s="536" t="s">
        <v>592</v>
      </c>
      <c r="Y16" s="1073" t="s">
        <v>60</v>
      </c>
    </row>
    <row r="17" spans="1:25" ht="21.6" customHeight="1" thickBot="1">
      <c r="A17" s="1072"/>
      <c r="B17" s="527" t="s">
        <v>593</v>
      </c>
      <c r="C17" s="608">
        <v>3</v>
      </c>
      <c r="D17" s="608">
        <v>41</v>
      </c>
      <c r="E17" s="608">
        <v>2</v>
      </c>
      <c r="F17" s="608">
        <v>29</v>
      </c>
      <c r="G17" s="608">
        <v>0</v>
      </c>
      <c r="H17" s="608">
        <v>2</v>
      </c>
      <c r="I17" s="608">
        <v>2</v>
      </c>
      <c r="J17" s="608">
        <v>51</v>
      </c>
      <c r="K17" s="608">
        <v>0</v>
      </c>
      <c r="L17" s="608">
        <v>4</v>
      </c>
      <c r="M17" s="608">
        <v>0</v>
      </c>
      <c r="N17" s="608">
        <v>3</v>
      </c>
      <c r="O17" s="608">
        <v>0</v>
      </c>
      <c r="P17" s="608">
        <v>0</v>
      </c>
      <c r="Q17" s="608">
        <v>0</v>
      </c>
      <c r="R17" s="608">
        <v>2</v>
      </c>
      <c r="S17" s="608">
        <v>0</v>
      </c>
      <c r="T17" s="608">
        <v>0</v>
      </c>
      <c r="U17" s="731">
        <f t="shared" si="0"/>
        <v>7</v>
      </c>
      <c r="V17" s="731">
        <f t="shared" si="0"/>
        <v>132</v>
      </c>
      <c r="W17" s="731">
        <f t="shared" si="1"/>
        <v>139</v>
      </c>
      <c r="X17" s="536" t="s">
        <v>594</v>
      </c>
      <c r="Y17" s="1073"/>
    </row>
    <row r="18" spans="1:25" ht="21.6" customHeight="1" thickBot="1">
      <c r="A18" s="1069" t="s">
        <v>446</v>
      </c>
      <c r="B18" s="526" t="s">
        <v>591</v>
      </c>
      <c r="C18" s="607">
        <v>25</v>
      </c>
      <c r="D18" s="607">
        <v>3</v>
      </c>
      <c r="E18" s="607">
        <v>47</v>
      </c>
      <c r="F18" s="607">
        <v>5</v>
      </c>
      <c r="G18" s="607">
        <v>3</v>
      </c>
      <c r="H18" s="607">
        <v>0</v>
      </c>
      <c r="I18" s="607">
        <v>7</v>
      </c>
      <c r="J18" s="607">
        <v>4</v>
      </c>
      <c r="K18" s="607">
        <v>11</v>
      </c>
      <c r="L18" s="607">
        <v>3</v>
      </c>
      <c r="M18" s="607">
        <v>3</v>
      </c>
      <c r="N18" s="607">
        <v>0</v>
      </c>
      <c r="O18" s="607">
        <v>2</v>
      </c>
      <c r="P18" s="607">
        <v>1</v>
      </c>
      <c r="Q18" s="607">
        <v>19</v>
      </c>
      <c r="R18" s="607">
        <v>3</v>
      </c>
      <c r="S18" s="607">
        <v>0</v>
      </c>
      <c r="T18" s="607">
        <v>3</v>
      </c>
      <c r="U18" s="730">
        <f t="shared" si="0"/>
        <v>117</v>
      </c>
      <c r="V18" s="730">
        <f t="shared" si="0"/>
        <v>22</v>
      </c>
      <c r="W18" s="730">
        <f t="shared" si="1"/>
        <v>139</v>
      </c>
      <c r="X18" s="535" t="s">
        <v>592</v>
      </c>
      <c r="Y18" s="1071" t="s">
        <v>59</v>
      </c>
    </row>
    <row r="19" spans="1:25" ht="21.6" customHeight="1" thickBot="1">
      <c r="A19" s="1069"/>
      <c r="B19" s="526" t="s">
        <v>593</v>
      </c>
      <c r="C19" s="607">
        <v>2</v>
      </c>
      <c r="D19" s="607">
        <v>20</v>
      </c>
      <c r="E19" s="607">
        <v>4</v>
      </c>
      <c r="F19" s="607">
        <v>27</v>
      </c>
      <c r="G19" s="607">
        <v>0</v>
      </c>
      <c r="H19" s="607">
        <v>2</v>
      </c>
      <c r="I19" s="607">
        <v>1</v>
      </c>
      <c r="J19" s="607">
        <v>6</v>
      </c>
      <c r="K19" s="607">
        <v>4</v>
      </c>
      <c r="L19" s="607">
        <v>22</v>
      </c>
      <c r="M19" s="607">
        <v>0</v>
      </c>
      <c r="N19" s="607">
        <v>4</v>
      </c>
      <c r="O19" s="607">
        <v>1</v>
      </c>
      <c r="P19" s="607">
        <v>0</v>
      </c>
      <c r="Q19" s="607">
        <v>2</v>
      </c>
      <c r="R19" s="607">
        <v>13</v>
      </c>
      <c r="S19" s="607">
        <v>0</v>
      </c>
      <c r="T19" s="607">
        <v>2</v>
      </c>
      <c r="U19" s="730">
        <f t="shared" si="0"/>
        <v>14</v>
      </c>
      <c r="V19" s="730">
        <f t="shared" si="0"/>
        <v>96</v>
      </c>
      <c r="W19" s="730">
        <f t="shared" si="1"/>
        <v>110</v>
      </c>
      <c r="X19" s="535" t="s">
        <v>594</v>
      </c>
      <c r="Y19" s="1071"/>
    </row>
    <row r="20" spans="1:25" ht="21.6" customHeight="1" thickBot="1">
      <c r="A20" s="1072" t="s">
        <v>447</v>
      </c>
      <c r="B20" s="527" t="s">
        <v>591</v>
      </c>
      <c r="C20" s="608">
        <v>6</v>
      </c>
      <c r="D20" s="608">
        <v>0</v>
      </c>
      <c r="E20" s="608">
        <v>15</v>
      </c>
      <c r="F20" s="608">
        <v>1</v>
      </c>
      <c r="G20" s="608">
        <v>2</v>
      </c>
      <c r="H20" s="608">
        <v>1</v>
      </c>
      <c r="I20" s="608">
        <v>0</v>
      </c>
      <c r="J20" s="608">
        <v>0</v>
      </c>
      <c r="K20" s="608">
        <v>2</v>
      </c>
      <c r="L20" s="608">
        <v>1</v>
      </c>
      <c r="M20" s="608">
        <v>19</v>
      </c>
      <c r="N20" s="608">
        <v>2</v>
      </c>
      <c r="O20" s="608">
        <v>3</v>
      </c>
      <c r="P20" s="608">
        <v>0</v>
      </c>
      <c r="Q20" s="608">
        <v>6</v>
      </c>
      <c r="R20" s="608">
        <v>0</v>
      </c>
      <c r="S20" s="608">
        <v>0</v>
      </c>
      <c r="T20" s="608">
        <v>0</v>
      </c>
      <c r="U20" s="731">
        <f t="shared" si="0"/>
        <v>53</v>
      </c>
      <c r="V20" s="731">
        <f t="shared" si="0"/>
        <v>5</v>
      </c>
      <c r="W20" s="731">
        <f t="shared" si="1"/>
        <v>58</v>
      </c>
      <c r="X20" s="536" t="s">
        <v>592</v>
      </c>
      <c r="Y20" s="1073" t="s">
        <v>58</v>
      </c>
    </row>
    <row r="21" spans="1:25" ht="21.6" customHeight="1" thickBot="1">
      <c r="A21" s="1072"/>
      <c r="B21" s="527" t="s">
        <v>593</v>
      </c>
      <c r="C21" s="608">
        <v>0</v>
      </c>
      <c r="D21" s="608">
        <v>6</v>
      </c>
      <c r="E21" s="608">
        <v>3</v>
      </c>
      <c r="F21" s="608">
        <v>4</v>
      </c>
      <c r="G21" s="608">
        <v>1</v>
      </c>
      <c r="H21" s="608">
        <v>0</v>
      </c>
      <c r="I21" s="608">
        <v>0</v>
      </c>
      <c r="J21" s="608">
        <v>1</v>
      </c>
      <c r="K21" s="608">
        <v>0</v>
      </c>
      <c r="L21" s="608">
        <v>1</v>
      </c>
      <c r="M21" s="608">
        <v>0</v>
      </c>
      <c r="N21" s="608">
        <v>8</v>
      </c>
      <c r="O21" s="608">
        <v>0</v>
      </c>
      <c r="P21" s="608">
        <v>2</v>
      </c>
      <c r="Q21" s="608">
        <v>0</v>
      </c>
      <c r="R21" s="608">
        <v>2</v>
      </c>
      <c r="S21" s="608">
        <v>0</v>
      </c>
      <c r="T21" s="608">
        <v>0</v>
      </c>
      <c r="U21" s="731">
        <f t="shared" si="0"/>
        <v>4</v>
      </c>
      <c r="V21" s="731">
        <f t="shared" si="0"/>
        <v>24</v>
      </c>
      <c r="W21" s="731">
        <f t="shared" si="1"/>
        <v>28</v>
      </c>
      <c r="X21" s="536" t="s">
        <v>594</v>
      </c>
      <c r="Y21" s="1073"/>
    </row>
    <row r="22" spans="1:25" ht="21.6" customHeight="1" thickBot="1">
      <c r="A22" s="1069" t="s">
        <v>549</v>
      </c>
      <c r="B22" s="526" t="s">
        <v>591</v>
      </c>
      <c r="C22" s="607">
        <v>3</v>
      </c>
      <c r="D22" s="607">
        <v>1</v>
      </c>
      <c r="E22" s="607">
        <v>0</v>
      </c>
      <c r="F22" s="607">
        <v>0</v>
      </c>
      <c r="G22" s="607">
        <v>0</v>
      </c>
      <c r="H22" s="607">
        <v>0</v>
      </c>
      <c r="I22" s="607">
        <v>0</v>
      </c>
      <c r="J22" s="607">
        <v>0</v>
      </c>
      <c r="K22" s="607">
        <v>1</v>
      </c>
      <c r="L22" s="607">
        <v>0</v>
      </c>
      <c r="M22" s="607">
        <v>3</v>
      </c>
      <c r="N22" s="607">
        <v>0</v>
      </c>
      <c r="O22" s="607">
        <v>2</v>
      </c>
      <c r="P22" s="607">
        <v>0</v>
      </c>
      <c r="Q22" s="607">
        <v>2</v>
      </c>
      <c r="R22" s="607">
        <v>0</v>
      </c>
      <c r="S22" s="607">
        <v>0</v>
      </c>
      <c r="T22" s="607">
        <v>0</v>
      </c>
      <c r="U22" s="730">
        <f t="shared" si="0"/>
        <v>11</v>
      </c>
      <c r="V22" s="730">
        <f t="shared" si="0"/>
        <v>1</v>
      </c>
      <c r="W22" s="730">
        <f t="shared" si="1"/>
        <v>12</v>
      </c>
      <c r="X22" s="535" t="s">
        <v>592</v>
      </c>
      <c r="Y22" s="1071" t="s">
        <v>57</v>
      </c>
    </row>
    <row r="23" spans="1:25" ht="21.6" customHeight="1" thickBot="1">
      <c r="A23" s="1069"/>
      <c r="B23" s="526" t="s">
        <v>593</v>
      </c>
      <c r="C23" s="607">
        <v>0</v>
      </c>
      <c r="D23" s="607">
        <v>1</v>
      </c>
      <c r="E23" s="607">
        <v>0</v>
      </c>
      <c r="F23" s="607">
        <v>1</v>
      </c>
      <c r="G23" s="607">
        <v>0</v>
      </c>
      <c r="H23" s="607">
        <v>0</v>
      </c>
      <c r="I23" s="607">
        <v>0</v>
      </c>
      <c r="J23" s="607">
        <v>0</v>
      </c>
      <c r="K23" s="607">
        <v>0</v>
      </c>
      <c r="L23" s="607">
        <v>1</v>
      </c>
      <c r="M23" s="607">
        <v>0</v>
      </c>
      <c r="N23" s="607">
        <v>0</v>
      </c>
      <c r="O23" s="607">
        <v>0</v>
      </c>
      <c r="P23" s="607">
        <v>1</v>
      </c>
      <c r="Q23" s="607">
        <v>0</v>
      </c>
      <c r="R23" s="607">
        <v>0</v>
      </c>
      <c r="S23" s="607">
        <v>0</v>
      </c>
      <c r="T23" s="607">
        <v>0</v>
      </c>
      <c r="U23" s="730">
        <f t="shared" si="0"/>
        <v>0</v>
      </c>
      <c r="V23" s="730">
        <f t="shared" si="0"/>
        <v>4</v>
      </c>
      <c r="W23" s="730">
        <f t="shared" si="1"/>
        <v>4</v>
      </c>
      <c r="X23" s="535" t="s">
        <v>594</v>
      </c>
      <c r="Y23" s="1071"/>
    </row>
    <row r="24" spans="1:25" ht="21.6" customHeight="1" thickBot="1">
      <c r="A24" s="1072" t="s">
        <v>579</v>
      </c>
      <c r="B24" s="527" t="s">
        <v>591</v>
      </c>
      <c r="C24" s="608">
        <v>20</v>
      </c>
      <c r="D24" s="608">
        <v>1</v>
      </c>
      <c r="E24" s="608">
        <v>35</v>
      </c>
      <c r="F24" s="608">
        <v>1</v>
      </c>
      <c r="G24" s="608">
        <v>4</v>
      </c>
      <c r="H24" s="608">
        <v>0</v>
      </c>
      <c r="I24" s="608">
        <v>3</v>
      </c>
      <c r="J24" s="608">
        <v>1</v>
      </c>
      <c r="K24" s="608">
        <v>6</v>
      </c>
      <c r="L24" s="608">
        <v>2</v>
      </c>
      <c r="M24" s="608">
        <v>3</v>
      </c>
      <c r="N24" s="608">
        <v>0</v>
      </c>
      <c r="O24" s="608">
        <v>0</v>
      </c>
      <c r="P24" s="608">
        <v>0</v>
      </c>
      <c r="Q24" s="608">
        <v>17</v>
      </c>
      <c r="R24" s="608">
        <v>2</v>
      </c>
      <c r="S24" s="608">
        <v>0</v>
      </c>
      <c r="T24" s="608">
        <v>0</v>
      </c>
      <c r="U24" s="731">
        <f t="shared" si="0"/>
        <v>88</v>
      </c>
      <c r="V24" s="731">
        <f t="shared" si="0"/>
        <v>7</v>
      </c>
      <c r="W24" s="731">
        <f t="shared" si="1"/>
        <v>95</v>
      </c>
      <c r="X24" s="536" t="s">
        <v>592</v>
      </c>
      <c r="Y24" s="1073" t="s">
        <v>595</v>
      </c>
    </row>
    <row r="25" spans="1:25" ht="21.6" customHeight="1" thickBot="1">
      <c r="A25" s="1072"/>
      <c r="B25" s="527" t="s">
        <v>593</v>
      </c>
      <c r="C25" s="608">
        <v>0</v>
      </c>
      <c r="D25" s="608">
        <v>13</v>
      </c>
      <c r="E25" s="608">
        <v>1</v>
      </c>
      <c r="F25" s="608">
        <v>9</v>
      </c>
      <c r="G25" s="608">
        <v>2</v>
      </c>
      <c r="H25" s="608">
        <v>1</v>
      </c>
      <c r="I25" s="608">
        <v>0</v>
      </c>
      <c r="J25" s="608">
        <v>1</v>
      </c>
      <c r="K25" s="608">
        <v>0</v>
      </c>
      <c r="L25" s="608">
        <v>3</v>
      </c>
      <c r="M25" s="608">
        <v>0</v>
      </c>
      <c r="N25" s="608">
        <v>2</v>
      </c>
      <c r="O25" s="608">
        <v>0</v>
      </c>
      <c r="P25" s="608">
        <v>1</v>
      </c>
      <c r="Q25" s="608">
        <v>1</v>
      </c>
      <c r="R25" s="608">
        <v>15</v>
      </c>
      <c r="S25" s="608">
        <v>0</v>
      </c>
      <c r="T25" s="608">
        <v>0</v>
      </c>
      <c r="U25" s="731">
        <f t="shared" si="0"/>
        <v>4</v>
      </c>
      <c r="V25" s="731">
        <f t="shared" si="0"/>
        <v>45</v>
      </c>
      <c r="W25" s="731">
        <f t="shared" si="1"/>
        <v>49</v>
      </c>
      <c r="X25" s="536" t="s">
        <v>594</v>
      </c>
      <c r="Y25" s="1073"/>
    </row>
    <row r="26" spans="1:25" ht="21.6" customHeight="1" thickBot="1">
      <c r="A26" s="1069" t="s">
        <v>586</v>
      </c>
      <c r="B26" s="526" t="s">
        <v>591</v>
      </c>
      <c r="C26" s="607">
        <v>0</v>
      </c>
      <c r="D26" s="607">
        <v>0</v>
      </c>
      <c r="E26" s="607">
        <v>0</v>
      </c>
      <c r="F26" s="607">
        <v>0</v>
      </c>
      <c r="G26" s="607">
        <v>0</v>
      </c>
      <c r="H26" s="607">
        <v>0</v>
      </c>
      <c r="I26" s="607">
        <v>0</v>
      </c>
      <c r="J26" s="607">
        <v>0</v>
      </c>
      <c r="K26" s="607">
        <v>0</v>
      </c>
      <c r="L26" s="607">
        <v>0</v>
      </c>
      <c r="M26" s="607">
        <v>0</v>
      </c>
      <c r="N26" s="607">
        <v>0</v>
      </c>
      <c r="O26" s="607">
        <v>0</v>
      </c>
      <c r="P26" s="607">
        <v>0</v>
      </c>
      <c r="Q26" s="607">
        <v>0</v>
      </c>
      <c r="R26" s="607">
        <v>0</v>
      </c>
      <c r="S26" s="607">
        <v>0</v>
      </c>
      <c r="T26" s="607">
        <v>0</v>
      </c>
      <c r="U26" s="730">
        <f t="shared" si="0"/>
        <v>0</v>
      </c>
      <c r="V26" s="730">
        <f t="shared" si="0"/>
        <v>0</v>
      </c>
      <c r="W26" s="730">
        <f t="shared" si="1"/>
        <v>0</v>
      </c>
      <c r="X26" s="535" t="s">
        <v>592</v>
      </c>
      <c r="Y26" s="1071" t="s">
        <v>596</v>
      </c>
    </row>
    <row r="27" spans="1:25" ht="21.6" customHeight="1">
      <c r="A27" s="1074"/>
      <c r="B27" s="603" t="s">
        <v>593</v>
      </c>
      <c r="C27" s="609">
        <v>1</v>
      </c>
      <c r="D27" s="609">
        <v>15</v>
      </c>
      <c r="E27" s="609">
        <v>12</v>
      </c>
      <c r="F27" s="609">
        <v>9</v>
      </c>
      <c r="G27" s="609">
        <v>7</v>
      </c>
      <c r="H27" s="609">
        <v>3</v>
      </c>
      <c r="I27" s="609">
        <v>1</v>
      </c>
      <c r="J27" s="609">
        <v>1</v>
      </c>
      <c r="K27" s="609">
        <v>3</v>
      </c>
      <c r="L27" s="609">
        <v>1</v>
      </c>
      <c r="M27" s="609">
        <v>0</v>
      </c>
      <c r="N27" s="609">
        <v>1</v>
      </c>
      <c r="O27" s="609">
        <v>0</v>
      </c>
      <c r="P27" s="609">
        <v>2</v>
      </c>
      <c r="Q27" s="609">
        <v>3</v>
      </c>
      <c r="R27" s="609">
        <v>1</v>
      </c>
      <c r="S27" s="609">
        <v>0</v>
      </c>
      <c r="T27" s="609">
        <v>0</v>
      </c>
      <c r="U27" s="732">
        <f t="shared" si="0"/>
        <v>27</v>
      </c>
      <c r="V27" s="732">
        <f t="shared" si="0"/>
        <v>33</v>
      </c>
      <c r="W27" s="732">
        <f t="shared" si="1"/>
        <v>60</v>
      </c>
      <c r="X27" s="604" t="s">
        <v>594</v>
      </c>
      <c r="Y27" s="1075"/>
    </row>
    <row r="28" spans="1:25" ht="21.6" customHeight="1" thickBot="1">
      <c r="A28" s="1076" t="s">
        <v>17</v>
      </c>
      <c r="B28" s="529" t="s">
        <v>591</v>
      </c>
      <c r="C28" s="575">
        <f>C10+C12+C14+C16+C18+C20+C22+C24+C26</f>
        <v>385</v>
      </c>
      <c r="D28" s="532">
        <f t="shared" ref="D28:T28" si="2">D10+D12+D14+D16+D18+D20+D22+D24+D26</f>
        <v>43</v>
      </c>
      <c r="E28" s="532">
        <f t="shared" si="2"/>
        <v>883</v>
      </c>
      <c r="F28" s="532">
        <f t="shared" si="2"/>
        <v>72</v>
      </c>
      <c r="G28" s="532">
        <f t="shared" si="2"/>
        <v>180</v>
      </c>
      <c r="H28" s="532">
        <f t="shared" si="2"/>
        <v>17</v>
      </c>
      <c r="I28" s="532">
        <f t="shared" si="2"/>
        <v>127</v>
      </c>
      <c r="J28" s="532">
        <f t="shared" si="2"/>
        <v>22</v>
      </c>
      <c r="K28" s="532">
        <f t="shared" si="2"/>
        <v>61</v>
      </c>
      <c r="L28" s="532">
        <f t="shared" si="2"/>
        <v>12</v>
      </c>
      <c r="M28" s="532">
        <f t="shared" si="2"/>
        <v>50</v>
      </c>
      <c r="N28" s="532">
        <f t="shared" si="2"/>
        <v>5</v>
      </c>
      <c r="O28" s="532">
        <f t="shared" si="2"/>
        <v>13</v>
      </c>
      <c r="P28" s="532">
        <f t="shared" si="2"/>
        <v>1</v>
      </c>
      <c r="Q28" s="532">
        <f t="shared" si="2"/>
        <v>150</v>
      </c>
      <c r="R28" s="532">
        <f t="shared" si="2"/>
        <v>21</v>
      </c>
      <c r="S28" s="532">
        <f t="shared" si="2"/>
        <v>3</v>
      </c>
      <c r="T28" s="532">
        <f t="shared" si="2"/>
        <v>32</v>
      </c>
      <c r="U28" s="532">
        <f t="shared" ref="D28:W29" si="3">U10+U12+U14+U16+U18+U20+U22+U24+U26</f>
        <v>1852</v>
      </c>
      <c r="V28" s="799">
        <f t="shared" si="3"/>
        <v>225</v>
      </c>
      <c r="W28" s="799">
        <f t="shared" si="3"/>
        <v>2077</v>
      </c>
      <c r="X28" s="523" t="s">
        <v>592</v>
      </c>
      <c r="Y28" s="1079" t="s">
        <v>56</v>
      </c>
    </row>
    <row r="29" spans="1:25" ht="21.6" customHeight="1" thickBot="1">
      <c r="A29" s="1077"/>
      <c r="B29" s="527" t="s">
        <v>593</v>
      </c>
      <c r="C29" s="576">
        <f>C11+C13+C15+C17+C19+C21+C23+C25+C27</f>
        <v>15</v>
      </c>
      <c r="D29" s="531">
        <f t="shared" si="3"/>
        <v>589</v>
      </c>
      <c r="E29" s="531">
        <f t="shared" si="3"/>
        <v>54</v>
      </c>
      <c r="F29" s="531">
        <f t="shared" si="3"/>
        <v>500</v>
      </c>
      <c r="G29" s="531">
        <f t="shared" si="3"/>
        <v>20</v>
      </c>
      <c r="H29" s="531">
        <f t="shared" si="3"/>
        <v>29</v>
      </c>
      <c r="I29" s="531">
        <f t="shared" si="3"/>
        <v>6</v>
      </c>
      <c r="J29" s="531">
        <f t="shared" si="3"/>
        <v>124</v>
      </c>
      <c r="K29" s="531">
        <f t="shared" si="3"/>
        <v>12</v>
      </c>
      <c r="L29" s="531">
        <f t="shared" si="3"/>
        <v>66</v>
      </c>
      <c r="M29" s="531">
        <f t="shared" si="3"/>
        <v>1</v>
      </c>
      <c r="N29" s="531">
        <f t="shared" si="3"/>
        <v>29</v>
      </c>
      <c r="O29" s="531">
        <f t="shared" si="3"/>
        <v>1</v>
      </c>
      <c r="P29" s="531">
        <f t="shared" si="3"/>
        <v>8</v>
      </c>
      <c r="Q29" s="531">
        <f t="shared" si="3"/>
        <v>11</v>
      </c>
      <c r="R29" s="531">
        <f t="shared" si="3"/>
        <v>67</v>
      </c>
      <c r="S29" s="531">
        <f t="shared" si="3"/>
        <v>0</v>
      </c>
      <c r="T29" s="531">
        <f t="shared" si="3"/>
        <v>12</v>
      </c>
      <c r="U29" s="531">
        <f t="shared" si="3"/>
        <v>120</v>
      </c>
      <c r="V29" s="796">
        <f t="shared" si="3"/>
        <v>1424</v>
      </c>
      <c r="W29" s="796">
        <f t="shared" si="3"/>
        <v>1544</v>
      </c>
      <c r="X29" s="520" t="s">
        <v>594</v>
      </c>
      <c r="Y29" s="1080"/>
    </row>
    <row r="30" spans="1:25" ht="21.6" customHeight="1">
      <c r="A30" s="1078"/>
      <c r="B30" s="530" t="s">
        <v>17</v>
      </c>
      <c r="C30" s="960">
        <f>C28+C29</f>
        <v>400</v>
      </c>
      <c r="D30" s="533">
        <f t="shared" ref="D30:V30" si="4">D28+D29</f>
        <v>632</v>
      </c>
      <c r="E30" s="533">
        <f t="shared" si="4"/>
        <v>937</v>
      </c>
      <c r="F30" s="533">
        <f t="shared" si="4"/>
        <v>572</v>
      </c>
      <c r="G30" s="533">
        <f t="shared" si="4"/>
        <v>200</v>
      </c>
      <c r="H30" s="533">
        <f t="shared" si="4"/>
        <v>46</v>
      </c>
      <c r="I30" s="533">
        <f t="shared" si="4"/>
        <v>133</v>
      </c>
      <c r="J30" s="533">
        <f t="shared" si="4"/>
        <v>146</v>
      </c>
      <c r="K30" s="533">
        <f t="shared" si="4"/>
        <v>73</v>
      </c>
      <c r="L30" s="533">
        <f t="shared" si="4"/>
        <v>78</v>
      </c>
      <c r="M30" s="533">
        <f t="shared" si="4"/>
        <v>51</v>
      </c>
      <c r="N30" s="533">
        <f t="shared" si="4"/>
        <v>34</v>
      </c>
      <c r="O30" s="533">
        <f t="shared" si="4"/>
        <v>14</v>
      </c>
      <c r="P30" s="533">
        <f t="shared" si="4"/>
        <v>9</v>
      </c>
      <c r="Q30" s="533">
        <f t="shared" si="4"/>
        <v>161</v>
      </c>
      <c r="R30" s="533">
        <f t="shared" si="4"/>
        <v>88</v>
      </c>
      <c r="S30" s="533">
        <f t="shared" si="4"/>
        <v>3</v>
      </c>
      <c r="T30" s="533">
        <f t="shared" si="4"/>
        <v>44</v>
      </c>
      <c r="U30" s="533">
        <f t="shared" si="4"/>
        <v>1972</v>
      </c>
      <c r="V30" s="800">
        <f t="shared" si="4"/>
        <v>1649</v>
      </c>
      <c r="W30" s="800">
        <f>W28+W29</f>
        <v>3621</v>
      </c>
      <c r="X30" s="524" t="s">
        <v>56</v>
      </c>
      <c r="Y30" s="1081"/>
    </row>
    <row r="31" spans="1:25">
      <c r="A31" s="1082" t="s">
        <v>581</v>
      </c>
      <c r="B31" s="1082"/>
      <c r="C31" s="2"/>
      <c r="D31" s="2"/>
      <c r="U31" s="1083" t="s">
        <v>582</v>
      </c>
      <c r="V31" s="1083"/>
      <c r="W31" s="1083"/>
      <c r="X31" s="1083"/>
      <c r="Y31" s="1083"/>
    </row>
  </sheetData>
  <mergeCells count="39">
    <mergeCell ref="A26:A27"/>
    <mergeCell ref="Y26:Y27"/>
    <mergeCell ref="A28:A30"/>
    <mergeCell ref="Y28:Y30"/>
    <mergeCell ref="A31:B31"/>
    <mergeCell ref="U31:Y31"/>
    <mergeCell ref="A20:A21"/>
    <mergeCell ref="Y20:Y21"/>
    <mergeCell ref="A22:A23"/>
    <mergeCell ref="Y22:Y23"/>
    <mergeCell ref="A24:A25"/>
    <mergeCell ref="Y24:Y25"/>
    <mergeCell ref="A14:A15"/>
    <mergeCell ref="Y14:Y15"/>
    <mergeCell ref="A16:A17"/>
    <mergeCell ref="Y16:Y17"/>
    <mergeCell ref="A18:A19"/>
    <mergeCell ref="Y18:Y19"/>
    <mergeCell ref="U7:W7"/>
    <mergeCell ref="A10:A11"/>
    <mergeCell ref="Y10:Y11"/>
    <mergeCell ref="A12:A13"/>
    <mergeCell ref="Y12:Y13"/>
    <mergeCell ref="A1:Y1"/>
    <mergeCell ref="A2:Y2"/>
    <mergeCell ref="A3:Y3"/>
    <mergeCell ref="A6:B9"/>
    <mergeCell ref="C6:M6"/>
    <mergeCell ref="N6:W6"/>
    <mergeCell ref="X6:Y9"/>
    <mergeCell ref="C7:D7"/>
    <mergeCell ref="E7:F7"/>
    <mergeCell ref="G7:H7"/>
    <mergeCell ref="I7:J7"/>
    <mergeCell ref="K7:L7"/>
    <mergeCell ref="M7:N7"/>
    <mergeCell ref="O7:P7"/>
    <mergeCell ref="Q7:R7"/>
    <mergeCell ref="S7:T7"/>
  </mergeCells>
  <printOptions horizontalCentered="1" verticalCentered="1"/>
  <pageMargins left="0" right="0" top="0" bottom="0" header="0" footer="0"/>
  <pageSetup paperSize="9" scale="6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0"/>
  <sheetViews>
    <sheetView rightToLeft="1" view="pageBreakPreview" zoomScaleNormal="100" zoomScaleSheetLayoutView="100" workbookViewId="0">
      <selection activeCell="M18" sqref="M18"/>
    </sheetView>
  </sheetViews>
  <sheetFormatPr defaultColWidth="9.140625" defaultRowHeight="12.75"/>
  <cols>
    <col min="1" max="1" width="3.5703125" style="1" customWidth="1"/>
    <col min="2" max="2" width="42.42578125" style="1" customWidth="1"/>
    <col min="3" max="3" width="5.140625" style="1" customWidth="1"/>
    <col min="4" max="4" width="43.5703125" style="1" customWidth="1"/>
    <col min="5" max="16384" width="9.140625" style="1"/>
  </cols>
  <sheetData>
    <row r="1" spans="1:4" ht="33.75" customHeight="1">
      <c r="B1" s="633" t="s">
        <v>762</v>
      </c>
      <c r="C1" s="632"/>
      <c r="D1" s="631" t="s">
        <v>761</v>
      </c>
    </row>
    <row r="2" spans="1:4" ht="15.75" customHeight="1">
      <c r="B2" s="630"/>
      <c r="C2" s="304"/>
      <c r="D2" s="629"/>
    </row>
    <row r="3" spans="1:4" ht="96.75" customHeight="1">
      <c r="A3" s="624"/>
      <c r="B3" s="628" t="s">
        <v>760</v>
      </c>
      <c r="D3" s="627" t="s">
        <v>759</v>
      </c>
    </row>
    <row r="4" spans="1:4" ht="165" customHeight="1">
      <c r="A4" s="624"/>
      <c r="B4" s="628" t="s">
        <v>758</v>
      </c>
      <c r="D4" s="627" t="s">
        <v>757</v>
      </c>
    </row>
    <row r="5" spans="1:4" ht="91.5" customHeight="1">
      <c r="A5" s="626"/>
      <c r="B5" s="628" t="s">
        <v>1254</v>
      </c>
      <c r="D5" s="627" t="s">
        <v>1255</v>
      </c>
    </row>
    <row r="6" spans="1:4" ht="39" customHeight="1">
      <c r="A6" s="626"/>
      <c r="B6" s="625"/>
      <c r="D6" s="624"/>
    </row>
    <row r="7" spans="1:4" ht="19.5">
      <c r="A7" s="622"/>
      <c r="B7" s="623"/>
      <c r="D7" s="622"/>
    </row>
    <row r="8" spans="1:4" ht="18">
      <c r="A8" s="621"/>
      <c r="B8" s="620" t="s">
        <v>756</v>
      </c>
      <c r="D8" s="619" t="s">
        <v>755</v>
      </c>
    </row>
    <row r="9" spans="1:4" ht="18">
      <c r="A9" s="618"/>
      <c r="B9" s="617" t="s">
        <v>754</v>
      </c>
      <c r="D9" s="616" t="s">
        <v>753</v>
      </c>
    </row>
    <row r="10" spans="1:4" ht="26.25">
      <c r="A10" s="614"/>
      <c r="B10" s="615"/>
      <c r="D10" s="614"/>
    </row>
  </sheetData>
  <printOptions horizontalCentered="1"/>
  <pageMargins left="0.80933070866141743" right="0.35433070866141736" top="0.98425196850393704" bottom="0.98425196850393704" header="0.51181102362204722" footer="0.51181102362204722"/>
  <pageSetup scale="8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55:J55"/>
  <sheetViews>
    <sheetView rightToLeft="1" view="pageBreakPreview" topLeftCell="A4" zoomScaleNormal="100" zoomScaleSheetLayoutView="100" workbookViewId="0">
      <selection activeCell="K55" sqref="K55"/>
    </sheetView>
  </sheetViews>
  <sheetFormatPr defaultColWidth="9.140625" defaultRowHeight="12.75"/>
  <cols>
    <col min="1" max="16384" width="9.140625" style="1"/>
  </cols>
  <sheetData>
    <row r="55" spans="1:10">
      <c r="A55" s="1038" t="s">
        <v>67</v>
      </c>
      <c r="B55" s="1084"/>
      <c r="C55" s="1084"/>
      <c r="D55" s="1084"/>
      <c r="E55" s="1084"/>
      <c r="F55" s="1084"/>
      <c r="G55" s="1084"/>
      <c r="H55" s="1084"/>
      <c r="I55" s="1084"/>
      <c r="J55" s="1084"/>
    </row>
  </sheetData>
  <mergeCells count="1">
    <mergeCell ref="A55:J55"/>
  </mergeCells>
  <printOptions horizontalCentered="1" verticalCentered="1"/>
  <pageMargins left="0" right="0" top="0" bottom="0"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19"/>
  <sheetViews>
    <sheetView rightToLeft="1" view="pageBreakPreview" topLeftCell="A3" zoomScaleNormal="100" zoomScaleSheetLayoutView="100" workbookViewId="0">
      <selection activeCell="C14" sqref="C14"/>
    </sheetView>
  </sheetViews>
  <sheetFormatPr defaultColWidth="9.140625" defaultRowHeight="12.75"/>
  <cols>
    <col min="1" max="1" width="18.42578125" style="2" customWidth="1"/>
    <col min="2" max="2" width="19.140625" style="2" customWidth="1"/>
    <col min="3" max="3" width="15.5703125" style="2" customWidth="1"/>
    <col min="4" max="4" width="14.42578125" style="2" customWidth="1"/>
    <col min="5" max="5" width="15.5703125" style="2" customWidth="1"/>
    <col min="6" max="6" width="16.140625" style="2" customWidth="1"/>
    <col min="7" max="7" width="12.140625" style="2" customWidth="1"/>
    <col min="8" max="8" width="16.140625" style="2" customWidth="1"/>
    <col min="9" max="16384" width="9.140625" style="2"/>
  </cols>
  <sheetData>
    <row r="1" spans="1:9" ht="18">
      <c r="A1" s="1009" t="s">
        <v>95</v>
      </c>
      <c r="B1" s="1009"/>
      <c r="C1" s="1009"/>
      <c r="D1" s="1009"/>
      <c r="E1" s="1009"/>
      <c r="F1" s="1009"/>
      <c r="G1" s="1009"/>
      <c r="H1" s="1009"/>
    </row>
    <row r="2" spans="1:9" ht="36" customHeight="1">
      <c r="A2" s="1036" t="s">
        <v>94</v>
      </c>
      <c r="B2" s="1036"/>
      <c r="C2" s="1036"/>
      <c r="D2" s="1036"/>
      <c r="E2" s="1036"/>
      <c r="F2" s="1036"/>
      <c r="G2" s="1036"/>
      <c r="H2" s="1036"/>
    </row>
    <row r="3" spans="1:9" ht="15.75">
      <c r="A3" s="1037">
        <v>2019</v>
      </c>
      <c r="B3" s="1037"/>
      <c r="C3" s="1037"/>
      <c r="D3" s="1037"/>
      <c r="E3" s="1037"/>
      <c r="F3" s="1037"/>
      <c r="G3" s="1037"/>
      <c r="H3" s="1037"/>
    </row>
    <row r="4" spans="1:9" s="31" customFormat="1" ht="20.25" customHeight="1">
      <c r="A4" s="362" t="s">
        <v>112</v>
      </c>
      <c r="B4" s="370"/>
      <c r="C4" s="434"/>
      <c r="D4" s="434"/>
      <c r="E4" s="434"/>
      <c r="F4" s="434"/>
      <c r="G4" s="369"/>
      <c r="H4" s="369" t="s">
        <v>392</v>
      </c>
      <c r="I4" s="32"/>
    </row>
    <row r="5" spans="1:9" ht="30.75" customHeight="1" thickBot="1">
      <c r="A5" s="1085" t="s">
        <v>93</v>
      </c>
      <c r="B5" s="1087" t="s">
        <v>65</v>
      </c>
      <c r="C5" s="1087"/>
      <c r="D5" s="1087"/>
      <c r="E5" s="1087" t="s">
        <v>64</v>
      </c>
      <c r="F5" s="1087"/>
      <c r="G5" s="1087"/>
      <c r="H5" s="1088" t="s">
        <v>92</v>
      </c>
    </row>
    <row r="6" spans="1:9" ht="30.75" customHeight="1">
      <c r="A6" s="1086"/>
      <c r="B6" s="422" t="s">
        <v>1286</v>
      </c>
      <c r="C6" s="422" t="s">
        <v>1287</v>
      </c>
      <c r="D6" s="422" t="s">
        <v>448</v>
      </c>
      <c r="E6" s="422" t="s">
        <v>1288</v>
      </c>
      <c r="F6" s="422" t="s">
        <v>1289</v>
      </c>
      <c r="G6" s="422" t="s">
        <v>448</v>
      </c>
      <c r="H6" s="1089"/>
    </row>
    <row r="7" spans="1:9" ht="21.75" customHeight="1" thickBot="1">
      <c r="A7" s="144" t="s">
        <v>91</v>
      </c>
      <c r="B7" s="322">
        <v>151</v>
      </c>
      <c r="C7" s="322">
        <v>160</v>
      </c>
      <c r="D7" s="323">
        <f>Table_Default__XLS_TAB_7[[#This Row],[M_QTRI_COUNT]]+Table_Default__XLS_TAB_7[[#This Row],[M_NQTRI_COUNT]]</f>
        <v>311</v>
      </c>
      <c r="E7" s="322">
        <v>146</v>
      </c>
      <c r="F7" s="322">
        <v>165</v>
      </c>
      <c r="G7" s="323">
        <f>Table_Default__XLS_TAB_7[[#This Row],[W_QTRI_COUNT]]+Table_Default__XLS_TAB_7[[#This Row],[W_NQTRI_COUNT]]</f>
        <v>311</v>
      </c>
      <c r="H7" s="145" t="s">
        <v>90</v>
      </c>
    </row>
    <row r="8" spans="1:9" ht="21.75" customHeight="1" thickBot="1">
      <c r="A8" s="45" t="s">
        <v>89</v>
      </c>
      <c r="B8" s="136">
        <v>154</v>
      </c>
      <c r="C8" s="136">
        <v>135</v>
      </c>
      <c r="D8" s="323">
        <f>Table_Default__XLS_TAB_7[[#This Row],[M_QTRI_COUNT]]+Table_Default__XLS_TAB_7[[#This Row],[M_NQTRI_COUNT]]</f>
        <v>289</v>
      </c>
      <c r="E8" s="136">
        <v>140</v>
      </c>
      <c r="F8" s="136">
        <v>149</v>
      </c>
      <c r="G8" s="323">
        <f>Table_Default__XLS_TAB_7[[#This Row],[W_QTRI_COUNT]]+Table_Default__XLS_TAB_7[[#This Row],[W_NQTRI_COUNT]]</f>
        <v>289</v>
      </c>
      <c r="H8" s="44" t="s">
        <v>88</v>
      </c>
    </row>
    <row r="9" spans="1:9" ht="21.75" customHeight="1" thickBot="1">
      <c r="A9" s="146" t="s">
        <v>87</v>
      </c>
      <c r="B9" s="136">
        <v>183</v>
      </c>
      <c r="C9" s="136">
        <v>130</v>
      </c>
      <c r="D9" s="323">
        <f>Table_Default__XLS_TAB_7[[#This Row],[M_QTRI_COUNT]]+Table_Default__XLS_TAB_7[[#This Row],[M_NQTRI_COUNT]]</f>
        <v>313</v>
      </c>
      <c r="E9" s="136">
        <v>176</v>
      </c>
      <c r="F9" s="136">
        <v>137</v>
      </c>
      <c r="G9" s="323">
        <f>Table_Default__XLS_TAB_7[[#This Row],[W_QTRI_COUNT]]+Table_Default__XLS_TAB_7[[#This Row],[W_NQTRI_COUNT]]</f>
        <v>313</v>
      </c>
      <c r="H9" s="43" t="s">
        <v>86</v>
      </c>
    </row>
    <row r="10" spans="1:9" ht="21.75" customHeight="1" thickBot="1">
      <c r="A10" s="45" t="s">
        <v>85</v>
      </c>
      <c r="B10" s="136">
        <v>180</v>
      </c>
      <c r="C10" s="136">
        <v>146</v>
      </c>
      <c r="D10" s="323">
        <f>Table_Default__XLS_TAB_7[[#This Row],[M_QTRI_COUNT]]+Table_Default__XLS_TAB_7[[#This Row],[M_NQTRI_COUNT]]</f>
        <v>326</v>
      </c>
      <c r="E10" s="136">
        <v>176</v>
      </c>
      <c r="F10" s="136">
        <v>150</v>
      </c>
      <c r="G10" s="323">
        <f>Table_Default__XLS_TAB_7[[#This Row],[W_QTRI_COUNT]]+Table_Default__XLS_TAB_7[[#This Row],[W_NQTRI_COUNT]]</f>
        <v>326</v>
      </c>
      <c r="H10" s="44" t="s">
        <v>84</v>
      </c>
    </row>
    <row r="11" spans="1:9" ht="21.75" customHeight="1" thickBot="1">
      <c r="A11" s="146" t="s">
        <v>83</v>
      </c>
      <c r="B11" s="136">
        <v>166</v>
      </c>
      <c r="C11" s="136">
        <v>103</v>
      </c>
      <c r="D11" s="323">
        <f>Table_Default__XLS_TAB_7[[#This Row],[M_QTRI_COUNT]]+Table_Default__XLS_TAB_7[[#This Row],[M_NQTRI_COUNT]]</f>
        <v>269</v>
      </c>
      <c r="E11" s="136">
        <v>160</v>
      </c>
      <c r="F11" s="136">
        <v>109</v>
      </c>
      <c r="G11" s="323">
        <f>Table_Default__XLS_TAB_7[[#This Row],[W_QTRI_COUNT]]+Table_Default__XLS_TAB_7[[#This Row],[W_NQTRI_COUNT]]</f>
        <v>269</v>
      </c>
      <c r="H11" s="43" t="s">
        <v>82</v>
      </c>
    </row>
    <row r="12" spans="1:9" ht="21.75" customHeight="1" thickBot="1">
      <c r="A12" s="45" t="s">
        <v>81</v>
      </c>
      <c r="B12" s="136">
        <v>187</v>
      </c>
      <c r="C12" s="136">
        <v>120</v>
      </c>
      <c r="D12" s="323">
        <f>Table_Default__XLS_TAB_7[[#This Row],[M_QTRI_COUNT]]+Table_Default__XLS_TAB_7[[#This Row],[M_NQTRI_COUNT]]</f>
        <v>307</v>
      </c>
      <c r="E12" s="136">
        <v>177</v>
      </c>
      <c r="F12" s="136">
        <v>130</v>
      </c>
      <c r="G12" s="323">
        <f>Table_Default__XLS_TAB_7[[#This Row],[W_QTRI_COUNT]]+Table_Default__XLS_TAB_7[[#This Row],[W_NQTRI_COUNT]]</f>
        <v>307</v>
      </c>
      <c r="H12" s="44" t="s">
        <v>80</v>
      </c>
    </row>
    <row r="13" spans="1:9" ht="21.75" customHeight="1" thickBot="1">
      <c r="A13" s="146" t="s">
        <v>79</v>
      </c>
      <c r="B13" s="136">
        <v>176</v>
      </c>
      <c r="C13" s="136">
        <v>141</v>
      </c>
      <c r="D13" s="323">
        <f>Table_Default__XLS_TAB_7[[#This Row],[M_QTRI_COUNT]]+Table_Default__XLS_TAB_7[[#This Row],[M_NQTRI_COUNT]]</f>
        <v>317</v>
      </c>
      <c r="E13" s="136">
        <v>166</v>
      </c>
      <c r="F13" s="136">
        <v>151</v>
      </c>
      <c r="G13" s="323">
        <f>Table_Default__XLS_TAB_7[[#This Row],[W_QTRI_COUNT]]+Table_Default__XLS_TAB_7[[#This Row],[W_NQTRI_COUNT]]</f>
        <v>317</v>
      </c>
      <c r="H13" s="43" t="s">
        <v>78</v>
      </c>
    </row>
    <row r="14" spans="1:9" ht="21.75" customHeight="1" thickBot="1">
      <c r="A14" s="45" t="s">
        <v>77</v>
      </c>
      <c r="B14" s="136">
        <v>166</v>
      </c>
      <c r="C14" s="136">
        <v>116</v>
      </c>
      <c r="D14" s="323">
        <f>Table_Default__XLS_TAB_7[[#This Row],[M_QTRI_COUNT]]+Table_Default__XLS_TAB_7[[#This Row],[M_NQTRI_COUNT]]</f>
        <v>282</v>
      </c>
      <c r="E14" s="136">
        <v>161</v>
      </c>
      <c r="F14" s="136">
        <v>121</v>
      </c>
      <c r="G14" s="323">
        <f>Table_Default__XLS_TAB_7[[#This Row],[W_QTRI_COUNT]]+Table_Default__XLS_TAB_7[[#This Row],[W_NQTRI_COUNT]]</f>
        <v>282</v>
      </c>
      <c r="H14" s="44" t="s">
        <v>76</v>
      </c>
    </row>
    <row r="15" spans="1:9" ht="21.75" customHeight="1" thickBot="1">
      <c r="A15" s="146" t="s">
        <v>75</v>
      </c>
      <c r="B15" s="136">
        <v>174</v>
      </c>
      <c r="C15" s="136">
        <v>113</v>
      </c>
      <c r="D15" s="323">
        <f>Table_Default__XLS_TAB_7[[#This Row],[M_QTRI_COUNT]]+Table_Default__XLS_TAB_7[[#This Row],[M_NQTRI_COUNT]]</f>
        <v>287</v>
      </c>
      <c r="E15" s="136">
        <v>166</v>
      </c>
      <c r="F15" s="136">
        <v>121</v>
      </c>
      <c r="G15" s="323">
        <f>Table_Default__XLS_TAB_7[[#This Row],[W_QTRI_COUNT]]+Table_Default__XLS_TAB_7[[#This Row],[W_NQTRI_COUNT]]</f>
        <v>287</v>
      </c>
      <c r="H15" s="43" t="s">
        <v>74</v>
      </c>
    </row>
    <row r="16" spans="1:9" ht="21.75" customHeight="1" thickBot="1">
      <c r="A16" s="45" t="s">
        <v>73</v>
      </c>
      <c r="B16" s="136">
        <v>202</v>
      </c>
      <c r="C16" s="136">
        <v>111</v>
      </c>
      <c r="D16" s="323">
        <f>Table_Default__XLS_TAB_7[[#This Row],[M_QTRI_COUNT]]+Table_Default__XLS_TAB_7[[#This Row],[M_NQTRI_COUNT]]</f>
        <v>313</v>
      </c>
      <c r="E16" s="136">
        <v>186</v>
      </c>
      <c r="F16" s="136">
        <v>127</v>
      </c>
      <c r="G16" s="323">
        <f>Table_Default__XLS_TAB_7[[#This Row],[W_QTRI_COUNT]]+Table_Default__XLS_TAB_7[[#This Row],[W_NQTRI_COUNT]]</f>
        <v>313</v>
      </c>
      <c r="H16" s="44" t="s">
        <v>72</v>
      </c>
    </row>
    <row r="17" spans="1:8" ht="21.75" customHeight="1" thickBot="1">
      <c r="A17" s="146" t="s">
        <v>71</v>
      </c>
      <c r="B17" s="136">
        <v>185</v>
      </c>
      <c r="C17" s="136">
        <v>107</v>
      </c>
      <c r="D17" s="323">
        <f>Table_Default__XLS_TAB_7[[#This Row],[M_QTRI_COUNT]]+Table_Default__XLS_TAB_7[[#This Row],[M_NQTRI_COUNT]]</f>
        <v>292</v>
      </c>
      <c r="E17" s="136">
        <v>172</v>
      </c>
      <c r="F17" s="136">
        <v>120</v>
      </c>
      <c r="G17" s="323">
        <f>Table_Default__XLS_TAB_7[[#This Row],[W_QTRI_COUNT]]+Table_Default__XLS_TAB_7[[#This Row],[W_NQTRI_COUNT]]</f>
        <v>292</v>
      </c>
      <c r="H17" s="43" t="s">
        <v>70</v>
      </c>
    </row>
    <row r="18" spans="1:8" ht="21.75" customHeight="1">
      <c r="A18" s="220" t="s">
        <v>69</v>
      </c>
      <c r="B18" s="432">
        <v>153</v>
      </c>
      <c r="C18" s="432">
        <v>162</v>
      </c>
      <c r="D18" s="433">
        <f>Table_Default__XLS_TAB_7[[#This Row],[M_QTRI_COUNT]]+Table_Default__XLS_TAB_7[[#This Row],[M_NQTRI_COUNT]]</f>
        <v>315</v>
      </c>
      <c r="E18" s="432">
        <v>146</v>
      </c>
      <c r="F18" s="432">
        <v>169</v>
      </c>
      <c r="G18" s="454">
        <f>Table_Default__XLS_TAB_7[[#This Row],[W_QTRI_COUNT]]+Table_Default__XLS_TAB_7[[#This Row],[W_NQTRI_COUNT]]</f>
        <v>315</v>
      </c>
      <c r="H18" s="221" t="s">
        <v>68</v>
      </c>
    </row>
    <row r="19" spans="1:8" ht="21.75" customHeight="1">
      <c r="A19" s="431" t="s">
        <v>17</v>
      </c>
      <c r="B19" s="958">
        <f>SUM(B7:B18)</f>
        <v>2077</v>
      </c>
      <c r="C19" s="958">
        <f>SUM(Table_Default__XLS_TAB_7[M_NQTRI_COUNT])</f>
        <v>1544</v>
      </c>
      <c r="D19" s="958">
        <f>SUM(Table_Default__XLS_TAB_7[M_QTRI_TOT_COUNT])</f>
        <v>3621</v>
      </c>
      <c r="E19" s="958">
        <f>SUM(Table_Default__XLS_TAB_7[W_QTRI_COUNT])</f>
        <v>1972</v>
      </c>
      <c r="F19" s="958">
        <f>SUM(Table_Default__XLS_TAB_7[W_NQTRI_COUNT])</f>
        <v>1649</v>
      </c>
      <c r="G19" s="959">
        <f>SUM(Table_Default__XLS_TAB_7[W_QTRI_TOT_COUNT])</f>
        <v>3621</v>
      </c>
      <c r="H19" s="563" t="s">
        <v>56</v>
      </c>
    </row>
  </sheetData>
  <mergeCells count="7">
    <mergeCell ref="A5:A6"/>
    <mergeCell ref="B5:D5"/>
    <mergeCell ref="E5:G5"/>
    <mergeCell ref="H5:H6"/>
    <mergeCell ref="A1:H1"/>
    <mergeCell ref="A2:H2"/>
    <mergeCell ref="A3:H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31"/>
  <sheetViews>
    <sheetView rightToLeft="1" view="pageBreakPreview" topLeftCell="A4" zoomScaleNormal="100" zoomScaleSheetLayoutView="100" workbookViewId="0">
      <selection activeCell="H10" sqref="H10"/>
    </sheetView>
  </sheetViews>
  <sheetFormatPr defaultColWidth="9.140625" defaultRowHeight="12.75"/>
  <cols>
    <col min="1" max="1" width="19.85546875" style="1" customWidth="1"/>
    <col min="2" max="9" width="13.42578125" style="1" customWidth="1"/>
    <col min="10" max="10" width="23.5703125" style="1" customWidth="1"/>
    <col min="11" max="16384" width="9.140625" style="1"/>
  </cols>
  <sheetData>
    <row r="1" spans="1:10" ht="24" customHeight="1">
      <c r="A1" s="1097" t="s">
        <v>114</v>
      </c>
      <c r="B1" s="1097"/>
      <c r="C1" s="1097"/>
      <c r="D1" s="1097"/>
      <c r="E1" s="1097"/>
      <c r="F1" s="1097"/>
      <c r="G1" s="1097"/>
      <c r="H1" s="1097"/>
      <c r="I1" s="1097"/>
      <c r="J1" s="1097"/>
    </row>
    <row r="2" spans="1:10" ht="15.75" customHeight="1">
      <c r="A2" s="1050" t="s">
        <v>113</v>
      </c>
      <c r="B2" s="1050"/>
      <c r="C2" s="1050"/>
      <c r="D2" s="1050"/>
      <c r="E2" s="1050"/>
      <c r="F2" s="1050"/>
      <c r="G2" s="1050"/>
      <c r="H2" s="1050"/>
      <c r="I2" s="1050"/>
      <c r="J2" s="1050"/>
    </row>
    <row r="3" spans="1:10" ht="15.75" customHeight="1">
      <c r="A3" s="1050">
        <v>2019</v>
      </c>
      <c r="B3" s="1050"/>
      <c r="C3" s="1050"/>
      <c r="D3" s="1050"/>
      <c r="E3" s="1050"/>
      <c r="F3" s="1050"/>
      <c r="G3" s="1050"/>
      <c r="H3" s="1050"/>
      <c r="I3" s="1050"/>
      <c r="J3" s="1050"/>
    </row>
    <row r="4" spans="1:10" ht="15.75" customHeight="1">
      <c r="A4" s="372"/>
      <c r="B4" s="372"/>
      <c r="C4" s="372"/>
      <c r="D4" s="372"/>
      <c r="E4" s="372"/>
      <c r="F4" s="372"/>
      <c r="G4" s="372"/>
      <c r="H4" s="372"/>
      <c r="I4" s="372"/>
      <c r="J4" s="372"/>
    </row>
    <row r="5" spans="1:10" s="31" customFormat="1" ht="16.5">
      <c r="A5" s="362" t="s">
        <v>131</v>
      </c>
      <c r="B5" s="362"/>
      <c r="C5" s="363"/>
      <c r="D5" s="364"/>
      <c r="E5" s="364"/>
      <c r="F5" s="364"/>
      <c r="G5" s="364"/>
      <c r="H5" s="364"/>
      <c r="I5" s="369"/>
      <c r="J5" s="369" t="s">
        <v>130</v>
      </c>
    </row>
    <row r="6" spans="1:10" ht="30" customHeight="1" thickBot="1">
      <c r="A6" s="1012" t="s">
        <v>111</v>
      </c>
      <c r="B6" s="1044" t="s">
        <v>110</v>
      </c>
      <c r="C6" s="1098"/>
      <c r="D6" s="1098"/>
      <c r="E6" s="1098"/>
      <c r="F6" s="1098"/>
      <c r="G6" s="1098"/>
      <c r="H6" s="1046"/>
      <c r="I6" s="1093" t="s">
        <v>603</v>
      </c>
      <c r="J6" s="1095" t="s">
        <v>109</v>
      </c>
    </row>
    <row r="7" spans="1:10" ht="73.5" customHeight="1">
      <c r="A7" s="1092"/>
      <c r="B7" s="511" t="s">
        <v>602</v>
      </c>
      <c r="C7" s="511" t="s">
        <v>694</v>
      </c>
      <c r="D7" s="511" t="s">
        <v>695</v>
      </c>
      <c r="E7" s="511" t="s">
        <v>733</v>
      </c>
      <c r="F7" s="511" t="s">
        <v>696</v>
      </c>
      <c r="G7" s="511" t="s">
        <v>734</v>
      </c>
      <c r="H7" s="421" t="s">
        <v>108</v>
      </c>
      <c r="I7" s="1094"/>
      <c r="J7" s="1096"/>
    </row>
    <row r="8" spans="1:10" ht="30.75" customHeight="1" thickBot="1">
      <c r="A8" s="144" t="s">
        <v>107</v>
      </c>
      <c r="B8" s="334">
        <v>1852</v>
      </c>
      <c r="C8" s="334">
        <v>142</v>
      </c>
      <c r="D8" s="334">
        <v>52</v>
      </c>
      <c r="E8" s="334">
        <v>22</v>
      </c>
      <c r="F8" s="334">
        <v>5</v>
      </c>
      <c r="G8" s="334">
        <v>4</v>
      </c>
      <c r="H8" s="446">
        <f>SUM(Table_Default__XLS_TAB_8[[#This Row],[QATAR]:[OTHER_COUNTRIES]])</f>
        <v>2077</v>
      </c>
      <c r="I8" s="147">
        <f>SUM(H8/$H$14)*100</f>
        <v>57.359845346589346</v>
      </c>
      <c r="J8" s="145" t="s">
        <v>703</v>
      </c>
    </row>
    <row r="9" spans="1:10" ht="30.75" customHeight="1" thickBot="1">
      <c r="A9" s="45" t="s">
        <v>106</v>
      </c>
      <c r="B9" s="335">
        <v>88</v>
      </c>
      <c r="C9" s="335">
        <v>14</v>
      </c>
      <c r="D9" s="335">
        <v>7</v>
      </c>
      <c r="E9" s="335">
        <v>6</v>
      </c>
      <c r="F9" s="335">
        <v>0</v>
      </c>
      <c r="G9" s="335">
        <v>0</v>
      </c>
      <c r="H9" s="446">
        <f>SUM(Table_Default__XLS_TAB_8[[#This Row],[QATAR]:[OTHER_COUNTRIES]])</f>
        <v>115</v>
      </c>
      <c r="I9" s="148">
        <f>SUM(H9/$H$14)*100</f>
        <v>3.175918254625794</v>
      </c>
      <c r="J9" s="44" t="s">
        <v>432</v>
      </c>
    </row>
    <row r="10" spans="1:10" ht="30.75" customHeight="1" thickBot="1">
      <c r="A10" s="146" t="s">
        <v>105</v>
      </c>
      <c r="B10" s="335">
        <v>25</v>
      </c>
      <c r="C10" s="335">
        <v>1</v>
      </c>
      <c r="D10" s="335">
        <v>683</v>
      </c>
      <c r="E10" s="335">
        <v>100</v>
      </c>
      <c r="F10" s="335">
        <v>79</v>
      </c>
      <c r="G10" s="335">
        <v>35</v>
      </c>
      <c r="H10" s="446">
        <f>SUM(Table_Default__XLS_TAB_8[[#This Row],[QATAR]:[OTHER_COUNTRIES]])</f>
        <v>923</v>
      </c>
      <c r="I10" s="149">
        <f t="shared" ref="I10:I13" si="0">SUM(H10/$H$14)*100</f>
        <v>25.490196078431371</v>
      </c>
      <c r="J10" s="43" t="s">
        <v>433</v>
      </c>
    </row>
    <row r="11" spans="1:10" ht="30.75" customHeight="1" thickBot="1">
      <c r="A11" s="45" t="s">
        <v>731</v>
      </c>
      <c r="B11" s="335">
        <v>4</v>
      </c>
      <c r="C11" s="335">
        <v>1</v>
      </c>
      <c r="D11" s="335">
        <v>35</v>
      </c>
      <c r="E11" s="335">
        <v>347</v>
      </c>
      <c r="F11" s="335">
        <v>12</v>
      </c>
      <c r="G11" s="335">
        <v>2</v>
      </c>
      <c r="H11" s="446">
        <f>SUM(Table_Default__XLS_TAB_8[[#This Row],[QATAR]:[OTHER_COUNTRIES]])</f>
        <v>401</v>
      </c>
      <c r="I11" s="148">
        <f>SUM(H11/$H$14)*100</f>
        <v>11.074288870477769</v>
      </c>
      <c r="J11" s="44" t="s">
        <v>434</v>
      </c>
    </row>
    <row r="12" spans="1:10" ht="30.75" customHeight="1" thickBot="1">
      <c r="A12" s="146" t="s">
        <v>104</v>
      </c>
      <c r="B12" s="335">
        <v>1</v>
      </c>
      <c r="C12" s="335">
        <v>0</v>
      </c>
      <c r="D12" s="335">
        <v>14</v>
      </c>
      <c r="E12" s="335">
        <v>14</v>
      </c>
      <c r="F12" s="335">
        <v>2</v>
      </c>
      <c r="G12" s="335">
        <v>6</v>
      </c>
      <c r="H12" s="446">
        <f>SUM(Table_Default__XLS_TAB_8[[#This Row],[QATAR]:[OTHER_COUNTRIES]])</f>
        <v>37</v>
      </c>
      <c r="I12" s="149">
        <f t="shared" si="0"/>
        <v>1.0218171775752554</v>
      </c>
      <c r="J12" s="43" t="s">
        <v>435</v>
      </c>
    </row>
    <row r="13" spans="1:10" ht="30.75" customHeight="1" thickBot="1">
      <c r="A13" s="42" t="s">
        <v>732</v>
      </c>
      <c r="B13" s="336">
        <v>2</v>
      </c>
      <c r="C13" s="336">
        <v>0</v>
      </c>
      <c r="D13" s="336">
        <v>40</v>
      </c>
      <c r="E13" s="336">
        <v>10</v>
      </c>
      <c r="F13" s="336">
        <v>6</v>
      </c>
      <c r="G13" s="336">
        <v>10</v>
      </c>
      <c r="H13" s="446">
        <f>SUM(Table_Default__XLS_TAB_8[[#This Row],[QATAR]:[OTHER_COUNTRIES]])</f>
        <v>68</v>
      </c>
      <c r="I13" s="150">
        <f t="shared" si="0"/>
        <v>1.8779342723004695</v>
      </c>
      <c r="J13" s="41" t="s">
        <v>436</v>
      </c>
    </row>
    <row r="14" spans="1:10" ht="26.25" customHeight="1" thickBot="1">
      <c r="A14" s="30" t="s">
        <v>17</v>
      </c>
      <c r="B14" s="337">
        <f>SUM(B8:B13)</f>
        <v>1972</v>
      </c>
      <c r="C14" s="337">
        <f t="shared" ref="C14:G14" si="1">SUM(C8:C13)</f>
        <v>158</v>
      </c>
      <c r="D14" s="337">
        <f t="shared" si="1"/>
        <v>831</v>
      </c>
      <c r="E14" s="337">
        <f t="shared" si="1"/>
        <v>499</v>
      </c>
      <c r="F14" s="337">
        <f t="shared" si="1"/>
        <v>104</v>
      </c>
      <c r="G14" s="337">
        <f t="shared" si="1"/>
        <v>57</v>
      </c>
      <c r="H14" s="337">
        <f t="shared" ref="H14" si="2">SUM(H8:H13)</f>
        <v>3621</v>
      </c>
      <c r="I14" s="338">
        <f t="shared" ref="I14" si="3">SUM(I8:I13)</f>
        <v>100</v>
      </c>
      <c r="J14" s="29" t="s">
        <v>56</v>
      </c>
    </row>
    <row r="15" spans="1:10" ht="33.75" customHeight="1">
      <c r="A15" s="14" t="s">
        <v>103</v>
      </c>
      <c r="B15" s="339">
        <f>B14/$H$14%</f>
        <v>54.460093896713616</v>
      </c>
      <c r="C15" s="339">
        <f t="shared" ref="C15:H15" si="4">C14/$H$14%</f>
        <v>4.3634355150510906</v>
      </c>
      <c r="D15" s="339">
        <f t="shared" si="4"/>
        <v>22.949461474730736</v>
      </c>
      <c r="E15" s="339">
        <f t="shared" si="4"/>
        <v>13.780723557028445</v>
      </c>
      <c r="F15" s="339">
        <f t="shared" si="4"/>
        <v>2.8721347694007178</v>
      </c>
      <c r="G15" s="339">
        <f t="shared" si="4"/>
        <v>1.5741507870753935</v>
      </c>
      <c r="H15" s="339">
        <f t="shared" si="4"/>
        <v>100</v>
      </c>
      <c r="I15" s="1090" t="s">
        <v>102</v>
      </c>
      <c r="J15" s="1091"/>
    </row>
    <row r="20" spans="1:2" ht="25.5">
      <c r="A20" s="48" t="s">
        <v>101</v>
      </c>
      <c r="B20" s="96"/>
    </row>
    <row r="21" spans="1:2" ht="38.25">
      <c r="A21" s="48" t="s">
        <v>100</v>
      </c>
      <c r="B21" s="96"/>
    </row>
    <row r="22" spans="1:2" ht="25.5">
      <c r="A22" s="48" t="s">
        <v>99</v>
      </c>
      <c r="B22" s="96"/>
    </row>
    <row r="23" spans="1:2" ht="25.5">
      <c r="A23" s="48" t="s">
        <v>98</v>
      </c>
      <c r="B23" s="96"/>
    </row>
    <row r="24" spans="1:2" ht="25.5">
      <c r="A24" s="48" t="s">
        <v>97</v>
      </c>
      <c r="B24" s="96"/>
    </row>
    <row r="25" spans="1:2" ht="26.25" thickBot="1">
      <c r="A25" s="47" t="s">
        <v>96</v>
      </c>
      <c r="B25" s="96"/>
    </row>
    <row r="26" spans="1:2" ht="13.5" thickTop="1">
      <c r="A26" s="48"/>
    </row>
    <row r="27" spans="1:2">
      <c r="A27" s="48"/>
    </row>
    <row r="28" spans="1:2">
      <c r="A28" s="48"/>
    </row>
    <row r="29" spans="1:2">
      <c r="A29" s="48"/>
    </row>
    <row r="30" spans="1:2" ht="13.5" thickBot="1">
      <c r="A30" s="47"/>
    </row>
    <row r="31" spans="1:2" ht="13.5" thickTop="1"/>
  </sheetData>
  <mergeCells count="8">
    <mergeCell ref="I15:J15"/>
    <mergeCell ref="A6:A7"/>
    <mergeCell ref="I6:I7"/>
    <mergeCell ref="J6:J7"/>
    <mergeCell ref="A1:J1"/>
    <mergeCell ref="A2:J2"/>
    <mergeCell ref="A3:J3"/>
    <mergeCell ref="B6:H6"/>
  </mergeCells>
  <printOptions horizontalCentered="1" verticalCentered="1"/>
  <pageMargins left="0" right="0" top="0" bottom="0" header="0" footer="0"/>
  <pageSetup paperSize="9" scale="87" orientation="landscape" r:id="rId1"/>
  <headerFooter alignWithMargins="0"/>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31:M31"/>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31" spans="1:13" ht="15.75">
      <c r="A31" s="1038" t="s">
        <v>115</v>
      </c>
      <c r="B31" s="1038"/>
      <c r="C31" s="1038"/>
      <c r="D31" s="1038"/>
      <c r="E31" s="1038"/>
      <c r="F31" s="1038"/>
      <c r="G31" s="1038"/>
      <c r="H31" s="1038"/>
      <c r="I31" s="1038"/>
      <c r="J31" s="1038"/>
      <c r="K31" s="1038"/>
      <c r="L31" s="1038"/>
      <c r="M31" s="1038"/>
    </row>
  </sheetData>
  <mergeCells count="1">
    <mergeCell ref="A31:M31"/>
  </mergeCells>
  <printOptions horizontalCentered="1" verticalCentered="1"/>
  <pageMargins left="0" right="0" top="0" bottom="0" header="0" footer="0"/>
  <pageSetup paperSize="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U14"/>
  <sheetViews>
    <sheetView rightToLeft="1" view="pageBreakPreview" zoomScaleNormal="100" zoomScaleSheetLayoutView="100" workbookViewId="0">
      <selection activeCell="P11" sqref="P11"/>
    </sheetView>
  </sheetViews>
  <sheetFormatPr defaultColWidth="9.140625" defaultRowHeight="12.75"/>
  <cols>
    <col min="1" max="1" width="24.42578125" style="2" customWidth="1"/>
    <col min="2" max="3" width="6.42578125" style="2" customWidth="1"/>
    <col min="4" max="4" width="6.85546875" style="2" bestFit="1" customWidth="1"/>
    <col min="5" max="14" width="6.42578125" style="2" customWidth="1"/>
    <col min="15" max="15" width="7.42578125" style="2" customWidth="1"/>
    <col min="16" max="16" width="9.42578125" style="2" customWidth="1"/>
    <col min="17" max="17" width="25.5703125" style="2" customWidth="1"/>
    <col min="18" max="16384" width="9.140625" style="2"/>
  </cols>
  <sheetData>
    <row r="1" spans="1:21" ht="21.75" customHeight="1">
      <c r="A1" s="1009" t="s">
        <v>132</v>
      </c>
      <c r="B1" s="1009"/>
      <c r="C1" s="1009"/>
      <c r="D1" s="1009"/>
      <c r="E1" s="1009"/>
      <c r="F1" s="1009"/>
      <c r="G1" s="1009"/>
      <c r="H1" s="1009"/>
      <c r="I1" s="1009"/>
      <c r="J1" s="1009"/>
      <c r="K1" s="1009"/>
      <c r="L1" s="1009"/>
      <c r="M1" s="1009"/>
      <c r="N1" s="1009"/>
      <c r="O1" s="1009"/>
      <c r="P1" s="1009"/>
      <c r="Q1" s="1009"/>
      <c r="R1" s="59"/>
      <c r="S1" s="59"/>
    </row>
    <row r="2" spans="1:21" ht="15.75" customHeight="1">
      <c r="A2" s="1037" t="s">
        <v>686</v>
      </c>
      <c r="B2" s="1037"/>
      <c r="C2" s="1037"/>
      <c r="D2" s="1037"/>
      <c r="E2" s="1037"/>
      <c r="F2" s="1037"/>
      <c r="G2" s="1037"/>
      <c r="H2" s="1037"/>
      <c r="I2" s="1037"/>
      <c r="J2" s="1037"/>
      <c r="K2" s="1037"/>
      <c r="L2" s="1037"/>
      <c r="M2" s="1037"/>
      <c r="N2" s="1037"/>
      <c r="O2" s="1037"/>
      <c r="P2" s="1037"/>
      <c r="Q2" s="1037"/>
      <c r="R2" s="58"/>
      <c r="S2" s="58"/>
    </row>
    <row r="3" spans="1:21" ht="18" customHeight="1">
      <c r="A3" s="1037">
        <v>2019</v>
      </c>
      <c r="B3" s="1037"/>
      <c r="C3" s="1037"/>
      <c r="D3" s="1037"/>
      <c r="E3" s="1037"/>
      <c r="F3" s="1037"/>
      <c r="G3" s="1037"/>
      <c r="H3" s="1037"/>
      <c r="I3" s="1037"/>
      <c r="J3" s="1037"/>
      <c r="K3" s="1037"/>
      <c r="L3" s="1037"/>
      <c r="M3" s="1037"/>
      <c r="N3" s="1037"/>
      <c r="O3" s="1037"/>
      <c r="P3" s="1037"/>
      <c r="Q3" s="1037"/>
      <c r="R3" s="57"/>
      <c r="S3" s="57"/>
      <c r="T3" s="57"/>
      <c r="U3" s="57"/>
    </row>
    <row r="4" spans="1:21" ht="15.75">
      <c r="A4" s="1037"/>
      <c r="B4" s="1037"/>
      <c r="C4" s="1037"/>
      <c r="D4" s="1037"/>
      <c r="E4" s="1037"/>
      <c r="F4" s="1037"/>
      <c r="G4" s="1037"/>
      <c r="H4" s="1037"/>
      <c r="I4" s="1037"/>
      <c r="J4" s="1037"/>
      <c r="K4" s="1037"/>
      <c r="L4" s="1037"/>
      <c r="M4" s="1037"/>
      <c r="N4" s="1037"/>
      <c r="O4" s="1037"/>
      <c r="P4" s="1037"/>
      <c r="Q4" s="1037"/>
    </row>
    <row r="5" spans="1:21" s="31" customFormat="1" ht="15.75">
      <c r="A5" s="373" t="s">
        <v>139</v>
      </c>
      <c r="B5" s="374"/>
      <c r="C5" s="374"/>
      <c r="D5" s="374"/>
      <c r="E5" s="374"/>
      <c r="F5" s="374"/>
      <c r="G5" s="374"/>
      <c r="H5" s="374"/>
      <c r="I5" s="374"/>
      <c r="J5" s="374"/>
      <c r="K5" s="374"/>
      <c r="L5" s="374"/>
      <c r="M5" s="374"/>
      <c r="N5" s="374"/>
      <c r="O5" s="374"/>
      <c r="P5" s="374"/>
      <c r="Q5" s="375" t="s">
        <v>138</v>
      </c>
    </row>
    <row r="6" spans="1:21" ht="26.25" customHeight="1" thickBot="1">
      <c r="A6" s="1099" t="s">
        <v>111</v>
      </c>
      <c r="B6" s="1087" t="s">
        <v>129</v>
      </c>
      <c r="C6" s="1087"/>
      <c r="D6" s="1087"/>
      <c r="E6" s="1087"/>
      <c r="F6" s="1087"/>
      <c r="G6" s="1087"/>
      <c r="H6" s="1087"/>
      <c r="I6" s="1087"/>
      <c r="J6" s="1087"/>
      <c r="K6" s="1087"/>
      <c r="L6" s="1087"/>
      <c r="M6" s="1087"/>
      <c r="N6" s="1087"/>
      <c r="O6" s="1087"/>
      <c r="P6" s="1087"/>
      <c r="Q6" s="1101" t="s">
        <v>109</v>
      </c>
    </row>
    <row r="7" spans="1:21" ht="57" customHeight="1">
      <c r="A7" s="1100" t="s">
        <v>111</v>
      </c>
      <c r="B7" s="326">
        <v>-20</v>
      </c>
      <c r="C7" s="326" t="s">
        <v>128</v>
      </c>
      <c r="D7" s="326" t="s">
        <v>127</v>
      </c>
      <c r="E7" s="326" t="s">
        <v>126</v>
      </c>
      <c r="F7" s="326" t="s">
        <v>125</v>
      </c>
      <c r="G7" s="326" t="s">
        <v>124</v>
      </c>
      <c r="H7" s="326" t="s">
        <v>123</v>
      </c>
      <c r="I7" s="326" t="s">
        <v>122</v>
      </c>
      <c r="J7" s="326" t="s">
        <v>121</v>
      </c>
      <c r="K7" s="326" t="s">
        <v>120</v>
      </c>
      <c r="L7" s="326" t="s">
        <v>119</v>
      </c>
      <c r="M7" s="326" t="s">
        <v>118</v>
      </c>
      <c r="N7" s="326" t="s">
        <v>117</v>
      </c>
      <c r="O7" s="327" t="s">
        <v>604</v>
      </c>
      <c r="P7" s="512" t="s">
        <v>605</v>
      </c>
      <c r="Q7" s="1102"/>
    </row>
    <row r="8" spans="1:21" ht="28.5" customHeight="1" thickBot="1">
      <c r="A8" s="435" t="s">
        <v>107</v>
      </c>
      <c r="B8" s="340">
        <v>29</v>
      </c>
      <c r="C8" s="340">
        <v>574</v>
      </c>
      <c r="D8" s="340">
        <v>810</v>
      </c>
      <c r="E8" s="340">
        <v>330</v>
      </c>
      <c r="F8" s="340">
        <v>118</v>
      </c>
      <c r="G8" s="340">
        <v>86</v>
      </c>
      <c r="H8" s="340">
        <v>57</v>
      </c>
      <c r="I8" s="340">
        <v>41</v>
      </c>
      <c r="J8" s="340">
        <v>14</v>
      </c>
      <c r="K8" s="340">
        <v>10</v>
      </c>
      <c r="L8" s="340">
        <v>4</v>
      </c>
      <c r="M8" s="340">
        <v>3</v>
      </c>
      <c r="N8" s="340">
        <v>1</v>
      </c>
      <c r="O8" s="340">
        <v>0</v>
      </c>
      <c r="P8" s="341">
        <f>SUM(Table_Default__XLS_TAB_9[[#This Row],[AGE_LEVEL_LESS_20]:[AGE_LEVEL_NOT_STATED]])</f>
        <v>2077</v>
      </c>
      <c r="Q8" s="439" t="s">
        <v>703</v>
      </c>
    </row>
    <row r="9" spans="1:21" ht="28.5" customHeight="1" thickBot="1">
      <c r="A9" s="436" t="s">
        <v>106</v>
      </c>
      <c r="B9" s="342">
        <v>1</v>
      </c>
      <c r="C9" s="342">
        <v>25</v>
      </c>
      <c r="D9" s="342">
        <v>36</v>
      </c>
      <c r="E9" s="342">
        <v>28</v>
      </c>
      <c r="F9" s="342">
        <v>11</v>
      </c>
      <c r="G9" s="342">
        <v>4</v>
      </c>
      <c r="H9" s="342">
        <v>4</v>
      </c>
      <c r="I9" s="342">
        <v>4</v>
      </c>
      <c r="J9" s="342">
        <v>0</v>
      </c>
      <c r="K9" s="342">
        <v>1</v>
      </c>
      <c r="L9" s="342">
        <v>1</v>
      </c>
      <c r="M9" s="342">
        <v>0</v>
      </c>
      <c r="N9" s="342">
        <v>0</v>
      </c>
      <c r="O9" s="342">
        <v>0</v>
      </c>
      <c r="P9" s="341">
        <f>SUM(Table_Default__XLS_TAB_9[[#This Row],[AGE_LEVEL_LESS_20]:[AGE_LEVEL_NOT_STATED]])</f>
        <v>115</v>
      </c>
      <c r="Q9" s="440" t="s">
        <v>432</v>
      </c>
    </row>
    <row r="10" spans="1:21" ht="28.5" customHeight="1" thickBot="1">
      <c r="A10" s="436" t="s">
        <v>105</v>
      </c>
      <c r="B10" s="342">
        <v>2</v>
      </c>
      <c r="C10" s="342">
        <v>76</v>
      </c>
      <c r="D10" s="342">
        <v>305</v>
      </c>
      <c r="E10" s="342">
        <v>263</v>
      </c>
      <c r="F10" s="342">
        <v>134</v>
      </c>
      <c r="G10" s="342">
        <v>58</v>
      </c>
      <c r="H10" s="342">
        <v>39</v>
      </c>
      <c r="I10" s="342">
        <v>24</v>
      </c>
      <c r="J10" s="342">
        <v>17</v>
      </c>
      <c r="K10" s="342">
        <v>2</v>
      </c>
      <c r="L10" s="342">
        <v>2</v>
      </c>
      <c r="M10" s="342">
        <v>1</v>
      </c>
      <c r="N10" s="342">
        <v>0</v>
      </c>
      <c r="O10" s="342">
        <v>0</v>
      </c>
      <c r="P10" s="341">
        <f>SUM(Table_Default__XLS_TAB_9[[#This Row],[AGE_LEVEL_LESS_20]:[AGE_LEVEL_NOT_STATED]])</f>
        <v>923</v>
      </c>
      <c r="Q10" s="440" t="s">
        <v>433</v>
      </c>
    </row>
    <row r="11" spans="1:21" ht="28.5" customHeight="1" thickBot="1">
      <c r="A11" s="45" t="s">
        <v>745</v>
      </c>
      <c r="B11" s="342">
        <v>4</v>
      </c>
      <c r="C11" s="342">
        <v>93</v>
      </c>
      <c r="D11" s="342">
        <v>169</v>
      </c>
      <c r="E11" s="342">
        <v>66</v>
      </c>
      <c r="F11" s="342">
        <v>30</v>
      </c>
      <c r="G11" s="342">
        <v>18</v>
      </c>
      <c r="H11" s="342">
        <v>8</v>
      </c>
      <c r="I11" s="342">
        <v>7</v>
      </c>
      <c r="J11" s="342">
        <v>2</v>
      </c>
      <c r="K11" s="342">
        <v>3</v>
      </c>
      <c r="L11" s="342">
        <v>1</v>
      </c>
      <c r="M11" s="342">
        <v>0</v>
      </c>
      <c r="N11" s="342">
        <v>0</v>
      </c>
      <c r="O11" s="342">
        <v>0</v>
      </c>
      <c r="P11" s="341">
        <f>SUM(Table_Default__XLS_TAB_9[[#This Row],[AGE_LEVEL_LESS_20]:[AGE_LEVEL_NOT_STATED]])</f>
        <v>401</v>
      </c>
      <c r="Q11" s="440" t="s">
        <v>434</v>
      </c>
    </row>
    <row r="12" spans="1:21" ht="28.5" customHeight="1" thickBot="1">
      <c r="A12" s="146" t="s">
        <v>746</v>
      </c>
      <c r="B12" s="342">
        <v>0</v>
      </c>
      <c r="C12" s="342">
        <v>3</v>
      </c>
      <c r="D12" s="342">
        <v>13</v>
      </c>
      <c r="E12" s="342">
        <v>7</v>
      </c>
      <c r="F12" s="342">
        <v>6</v>
      </c>
      <c r="G12" s="342">
        <v>4</v>
      </c>
      <c r="H12" s="342">
        <v>0</v>
      </c>
      <c r="I12" s="342">
        <v>2</v>
      </c>
      <c r="J12" s="342">
        <v>2</v>
      </c>
      <c r="K12" s="342">
        <v>0</v>
      </c>
      <c r="L12" s="342">
        <v>0</v>
      </c>
      <c r="M12" s="342">
        <v>0</v>
      </c>
      <c r="N12" s="342">
        <v>0</v>
      </c>
      <c r="O12" s="342">
        <v>0</v>
      </c>
      <c r="P12" s="341">
        <f>SUM(Table_Default__XLS_TAB_9[[#This Row],[AGE_LEVEL_LESS_20]:[AGE_LEVEL_NOT_STATED]])</f>
        <v>37</v>
      </c>
      <c r="Q12" s="440" t="s">
        <v>1253</v>
      </c>
    </row>
    <row r="13" spans="1:21" ht="28.5" customHeight="1">
      <c r="A13" s="42" t="s">
        <v>747</v>
      </c>
      <c r="B13" s="343">
        <v>1</v>
      </c>
      <c r="C13" s="343">
        <v>6</v>
      </c>
      <c r="D13" s="343">
        <v>18</v>
      </c>
      <c r="E13" s="343">
        <v>16</v>
      </c>
      <c r="F13" s="343">
        <v>9</v>
      </c>
      <c r="G13" s="343">
        <v>4</v>
      </c>
      <c r="H13" s="343">
        <v>4</v>
      </c>
      <c r="I13" s="343">
        <v>3</v>
      </c>
      <c r="J13" s="343">
        <v>3</v>
      </c>
      <c r="K13" s="343">
        <v>3</v>
      </c>
      <c r="L13" s="343">
        <v>0</v>
      </c>
      <c r="M13" s="343">
        <v>1</v>
      </c>
      <c r="N13" s="343">
        <v>0</v>
      </c>
      <c r="O13" s="343">
        <v>0</v>
      </c>
      <c r="P13" s="423">
        <f>SUM(Table_Default__XLS_TAB_9[[#This Row],[AGE_LEVEL_LESS_20]:[AGE_LEVEL_NOT_STATED]])</f>
        <v>68</v>
      </c>
      <c r="Q13" s="441" t="s">
        <v>436</v>
      </c>
    </row>
    <row r="14" spans="1:21" ht="27.75" customHeight="1" thickBot="1">
      <c r="A14" s="956" t="s">
        <v>17</v>
      </c>
      <c r="B14" s="922">
        <f>SUBTOTAL(109,Table_Default__XLS_TAB_9[AGE_LEVEL_LESS_20])</f>
        <v>37</v>
      </c>
      <c r="C14" s="922">
        <f>SUBTOTAL(109,Table_Default__XLS_TAB_9[AGE_LEVEL_20_24])</f>
        <v>777</v>
      </c>
      <c r="D14" s="922">
        <f>SUBTOTAL(109,Table_Default__XLS_TAB_9[AGE_LEVEL_25_29])</f>
        <v>1351</v>
      </c>
      <c r="E14" s="922">
        <f>SUBTOTAL(109,Table_Default__XLS_TAB_9[AGE_LEVEL_30_34])</f>
        <v>710</v>
      </c>
      <c r="F14" s="922">
        <f>SUBTOTAL(109,Table_Default__XLS_TAB_9[AGE_LEVEL_35_39])</f>
        <v>308</v>
      </c>
      <c r="G14" s="922">
        <f>SUBTOTAL(109,Table_Default__XLS_TAB_9[AGE_LEVEL_40_44])</f>
        <v>174</v>
      </c>
      <c r="H14" s="922">
        <f>SUBTOTAL(109,Table_Default__XLS_TAB_9[AGE_LEVEL_45_49])</f>
        <v>112</v>
      </c>
      <c r="I14" s="922">
        <f>SUBTOTAL(109,Table_Default__XLS_TAB_9[AGE_LEVEL_50_54])</f>
        <v>81</v>
      </c>
      <c r="J14" s="922">
        <f>SUBTOTAL(109,Table_Default__XLS_TAB_9[AGE_LEVEL_55_59])</f>
        <v>38</v>
      </c>
      <c r="K14" s="922">
        <f>SUBTOTAL(109,Table_Default__XLS_TAB_9[AGE_LEVEL_60_64])</f>
        <v>19</v>
      </c>
      <c r="L14" s="922">
        <f>SUBTOTAL(109,Table_Default__XLS_TAB_9[AGE_LEVEL_65_70])</f>
        <v>8</v>
      </c>
      <c r="M14" s="922">
        <f>SUBTOTAL(109,Table_Default__XLS_TAB_9[AGE_LEVEL_70_74])</f>
        <v>5</v>
      </c>
      <c r="N14" s="922">
        <f>SUBTOTAL(109,Table_Default__XLS_TAB_9[AGE_LEVEL_75])</f>
        <v>1</v>
      </c>
      <c r="O14" s="922">
        <f>SUBTOTAL(109,Table_Default__XLS_TAB_9[AGE_LEVEL_NOT_STATED])</f>
        <v>0</v>
      </c>
      <c r="P14" s="957">
        <f>SUBTOTAL(109,Table_Default__XLS_TAB_9[TOTAL])</f>
        <v>3621</v>
      </c>
      <c r="Q14" s="955" t="s">
        <v>56</v>
      </c>
    </row>
  </sheetData>
  <mergeCells count="7">
    <mergeCell ref="A6:A7"/>
    <mergeCell ref="Q6:Q7"/>
    <mergeCell ref="B6:P6"/>
    <mergeCell ref="A1:Q1"/>
    <mergeCell ref="A2:Q2"/>
    <mergeCell ref="A3:Q3"/>
    <mergeCell ref="A4:Q4"/>
  </mergeCells>
  <printOptions horizontalCentered="1" verticalCentered="1"/>
  <pageMargins left="0" right="0" top="0" bottom="0" header="0" footer="0"/>
  <pageSetup paperSize="9" scale="88" orientation="landscape" r:id="rId1"/>
  <headerFooter alignWithMargins="0"/>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14"/>
  <sheetViews>
    <sheetView rightToLeft="1" view="pageBreakPreview" zoomScaleNormal="100" zoomScaleSheetLayoutView="100" workbookViewId="0">
      <selection activeCell="B15" sqref="B15"/>
    </sheetView>
  </sheetViews>
  <sheetFormatPr defaultColWidth="9.140625" defaultRowHeight="12.75"/>
  <cols>
    <col min="1" max="1" width="19.42578125" style="1" customWidth="1"/>
    <col min="2" max="2" width="7.85546875" style="1" customWidth="1"/>
    <col min="3" max="3" width="9" style="1" customWidth="1"/>
    <col min="4" max="4" width="9.42578125" style="1" customWidth="1"/>
    <col min="5" max="6" width="6.85546875" style="1" customWidth="1"/>
    <col min="7" max="8" width="6.5703125" style="1" customWidth="1"/>
    <col min="9" max="9" width="6.85546875" style="1" customWidth="1"/>
    <col min="10" max="10" width="5.85546875" style="1" customWidth="1"/>
    <col min="11" max="11" width="5.42578125" style="1" customWidth="1"/>
    <col min="12" max="12" width="7.140625" style="1" customWidth="1"/>
    <col min="13" max="13" width="9.42578125" style="1" customWidth="1"/>
    <col min="14" max="14" width="26.5703125" style="1" customWidth="1"/>
    <col min="15" max="16384" width="9.140625" style="1"/>
  </cols>
  <sheetData>
    <row r="1" spans="1:18" s="2" customFormat="1" ht="21.75" customHeight="1">
      <c r="A1" s="1009" t="s">
        <v>141</v>
      </c>
      <c r="B1" s="1009"/>
      <c r="C1" s="1009"/>
      <c r="D1" s="1009"/>
      <c r="E1" s="1009"/>
      <c r="F1" s="1009"/>
      <c r="G1" s="1009"/>
      <c r="H1" s="1009"/>
      <c r="I1" s="1009"/>
      <c r="J1" s="1009"/>
      <c r="K1" s="1009"/>
      <c r="L1" s="1009"/>
      <c r="M1" s="1009"/>
      <c r="N1" s="1009"/>
      <c r="O1" s="59"/>
      <c r="P1" s="59"/>
    </row>
    <row r="2" spans="1:18" s="2" customFormat="1" ht="15.75" customHeight="1">
      <c r="A2" s="1037" t="s">
        <v>140</v>
      </c>
      <c r="B2" s="1037"/>
      <c r="C2" s="1037"/>
      <c r="D2" s="1037"/>
      <c r="E2" s="1037"/>
      <c r="F2" s="1037"/>
      <c r="G2" s="1037"/>
      <c r="H2" s="1037"/>
      <c r="I2" s="1037"/>
      <c r="J2" s="1037"/>
      <c r="K2" s="1037"/>
      <c r="L2" s="1037"/>
      <c r="M2" s="1037"/>
      <c r="N2" s="1037"/>
      <c r="O2" s="58"/>
      <c r="P2" s="58"/>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c r="B4" s="1037"/>
      <c r="C4" s="1037"/>
      <c r="D4" s="1037"/>
      <c r="E4" s="1037"/>
      <c r="F4" s="1037"/>
      <c r="G4" s="1037"/>
      <c r="H4" s="1037"/>
      <c r="I4" s="1037"/>
      <c r="J4" s="1037"/>
      <c r="K4" s="1037"/>
      <c r="L4" s="1037"/>
      <c r="M4" s="1037"/>
      <c r="N4" s="1037"/>
    </row>
    <row r="5" spans="1:18" s="31" customFormat="1" ht="15.75">
      <c r="A5" s="373" t="s">
        <v>397</v>
      </c>
      <c r="B5" s="374"/>
      <c r="C5" s="374"/>
      <c r="D5" s="374"/>
      <c r="E5" s="374"/>
      <c r="F5" s="374"/>
      <c r="G5" s="374"/>
      <c r="H5" s="374"/>
      <c r="I5" s="374"/>
      <c r="J5" s="374"/>
      <c r="K5" s="374"/>
      <c r="L5" s="374"/>
      <c r="M5" s="374"/>
      <c r="N5" s="375" t="s">
        <v>398</v>
      </c>
    </row>
    <row r="6" spans="1:18" ht="26.25" customHeight="1" thickBot="1">
      <c r="A6" s="1099" t="s">
        <v>137</v>
      </c>
      <c r="B6" s="1103" t="s">
        <v>449</v>
      </c>
      <c r="C6" s="1104"/>
      <c r="D6" s="1104"/>
      <c r="E6" s="1104"/>
      <c r="F6" s="1104"/>
      <c r="G6" s="1104"/>
      <c r="H6" s="1104"/>
      <c r="I6" s="1104"/>
      <c r="J6" s="1104"/>
      <c r="K6" s="1104"/>
      <c r="L6" s="1104"/>
      <c r="M6" s="1105"/>
      <c r="N6" s="1101" t="s">
        <v>135</v>
      </c>
    </row>
    <row r="7" spans="1:18" ht="42" customHeight="1">
      <c r="A7" s="1100" t="s">
        <v>111</v>
      </c>
      <c r="B7" s="326">
        <v>-20</v>
      </c>
      <c r="C7" s="326" t="s">
        <v>128</v>
      </c>
      <c r="D7" s="326" t="s">
        <v>127</v>
      </c>
      <c r="E7" s="326" t="s">
        <v>126</v>
      </c>
      <c r="F7" s="326" t="s">
        <v>125</v>
      </c>
      <c r="G7" s="326" t="s">
        <v>124</v>
      </c>
      <c r="H7" s="326" t="s">
        <v>123</v>
      </c>
      <c r="I7" s="326" t="s">
        <v>122</v>
      </c>
      <c r="J7" s="326" t="s">
        <v>121</v>
      </c>
      <c r="K7" s="326" t="s">
        <v>133</v>
      </c>
      <c r="L7" s="327" t="s">
        <v>604</v>
      </c>
      <c r="M7" s="320" t="s">
        <v>605</v>
      </c>
      <c r="N7" s="1102"/>
    </row>
    <row r="8" spans="1:18" ht="28.5" customHeight="1" thickBot="1">
      <c r="A8" s="437" t="s">
        <v>107</v>
      </c>
      <c r="B8" s="340">
        <v>235</v>
      </c>
      <c r="C8" s="340">
        <v>862</v>
      </c>
      <c r="D8" s="340">
        <v>483</v>
      </c>
      <c r="E8" s="340">
        <v>190</v>
      </c>
      <c r="F8" s="340">
        <v>97</v>
      </c>
      <c r="G8" s="340">
        <v>58</v>
      </c>
      <c r="H8" s="340">
        <v>23</v>
      </c>
      <c r="I8" s="340">
        <v>15</v>
      </c>
      <c r="J8" s="340">
        <v>8</v>
      </c>
      <c r="K8" s="340">
        <v>1</v>
      </c>
      <c r="L8" s="340">
        <v>0</v>
      </c>
      <c r="M8" s="341">
        <f>SUM(Table_Default__XLS_TAB_10[[#This Row],[AGE_LEVEL_LESS_20]:[AGE_LEVEL_NOT_STATED]])</f>
        <v>1972</v>
      </c>
      <c r="N8" s="439" t="s">
        <v>703</v>
      </c>
    </row>
    <row r="9" spans="1:18" ht="28.5" customHeight="1" thickBot="1">
      <c r="A9" s="438" t="s">
        <v>106</v>
      </c>
      <c r="B9" s="342">
        <v>28</v>
      </c>
      <c r="C9" s="342">
        <v>58</v>
      </c>
      <c r="D9" s="342">
        <v>50</v>
      </c>
      <c r="E9" s="342">
        <v>13</v>
      </c>
      <c r="F9" s="342">
        <v>4</v>
      </c>
      <c r="G9" s="342">
        <v>4</v>
      </c>
      <c r="H9" s="342">
        <v>0</v>
      </c>
      <c r="I9" s="342">
        <v>1</v>
      </c>
      <c r="J9" s="342">
        <v>0</v>
      </c>
      <c r="K9" s="342">
        <v>0</v>
      </c>
      <c r="L9" s="342">
        <v>0</v>
      </c>
      <c r="M9" s="341">
        <f>SUM(Table_Default__XLS_TAB_10[[#This Row],[AGE_LEVEL_LESS_20]:[AGE_LEVEL_NOT_STATED]])</f>
        <v>158</v>
      </c>
      <c r="N9" s="440" t="s">
        <v>432</v>
      </c>
    </row>
    <row r="10" spans="1:18" ht="28.5" customHeight="1" thickBot="1">
      <c r="A10" s="438" t="s">
        <v>105</v>
      </c>
      <c r="B10" s="342">
        <v>53</v>
      </c>
      <c r="C10" s="342">
        <v>209</v>
      </c>
      <c r="D10" s="342">
        <v>252</v>
      </c>
      <c r="E10" s="342">
        <v>153</v>
      </c>
      <c r="F10" s="342">
        <v>80</v>
      </c>
      <c r="G10" s="342">
        <v>47</v>
      </c>
      <c r="H10" s="342">
        <v>28</v>
      </c>
      <c r="I10" s="342">
        <v>8</v>
      </c>
      <c r="J10" s="342">
        <v>0</v>
      </c>
      <c r="K10" s="342">
        <v>1</v>
      </c>
      <c r="L10" s="342">
        <v>0</v>
      </c>
      <c r="M10" s="341">
        <f>SUM(Table_Default__XLS_TAB_10[[#This Row],[AGE_LEVEL_LESS_20]:[AGE_LEVEL_NOT_STATED]])</f>
        <v>831</v>
      </c>
      <c r="N10" s="440" t="s">
        <v>433</v>
      </c>
    </row>
    <row r="11" spans="1:18" ht="28.5" customHeight="1" thickBot="1">
      <c r="A11" s="45" t="s">
        <v>745</v>
      </c>
      <c r="B11" s="342">
        <v>55</v>
      </c>
      <c r="C11" s="342">
        <v>159</v>
      </c>
      <c r="D11" s="342">
        <v>145</v>
      </c>
      <c r="E11" s="342">
        <v>79</v>
      </c>
      <c r="F11" s="342">
        <v>36</v>
      </c>
      <c r="G11" s="342">
        <v>13</v>
      </c>
      <c r="H11" s="342">
        <v>9</v>
      </c>
      <c r="I11" s="342">
        <v>2</v>
      </c>
      <c r="J11" s="342">
        <v>0</v>
      </c>
      <c r="K11" s="342">
        <v>1</v>
      </c>
      <c r="L11" s="342">
        <v>0</v>
      </c>
      <c r="M11" s="341">
        <f>SUM(Table_Default__XLS_TAB_10[[#This Row],[AGE_LEVEL_LESS_20]:[AGE_LEVEL_NOT_STATED]])</f>
        <v>499</v>
      </c>
      <c r="N11" s="440" t="s">
        <v>434</v>
      </c>
    </row>
    <row r="12" spans="1:18" ht="28.5" customHeight="1" thickBot="1">
      <c r="A12" s="146" t="s">
        <v>746</v>
      </c>
      <c r="B12" s="342">
        <v>1</v>
      </c>
      <c r="C12" s="342">
        <v>20</v>
      </c>
      <c r="D12" s="342">
        <v>29</v>
      </c>
      <c r="E12" s="342">
        <v>24</v>
      </c>
      <c r="F12" s="342">
        <v>13</v>
      </c>
      <c r="G12" s="342">
        <v>9</v>
      </c>
      <c r="H12" s="342">
        <v>4</v>
      </c>
      <c r="I12" s="342">
        <v>2</v>
      </c>
      <c r="J12" s="342">
        <v>1</v>
      </c>
      <c r="K12" s="342">
        <v>0</v>
      </c>
      <c r="L12" s="342">
        <v>1</v>
      </c>
      <c r="M12" s="341">
        <f>SUM(Table_Default__XLS_TAB_10[[#This Row],[AGE_LEVEL_LESS_20]:[AGE_LEVEL_NOT_STATED]])</f>
        <v>104</v>
      </c>
      <c r="N12" s="440" t="s">
        <v>1253</v>
      </c>
    </row>
    <row r="13" spans="1:18" ht="28.5" customHeight="1">
      <c r="A13" s="42" t="s">
        <v>747</v>
      </c>
      <c r="B13" s="343">
        <v>5</v>
      </c>
      <c r="C13" s="343">
        <v>13</v>
      </c>
      <c r="D13" s="343">
        <v>14</v>
      </c>
      <c r="E13" s="343">
        <v>7</v>
      </c>
      <c r="F13" s="343">
        <v>12</v>
      </c>
      <c r="G13" s="343">
        <v>3</v>
      </c>
      <c r="H13" s="343">
        <v>1</v>
      </c>
      <c r="I13" s="343">
        <v>0</v>
      </c>
      <c r="J13" s="343">
        <v>1</v>
      </c>
      <c r="K13" s="343">
        <v>1</v>
      </c>
      <c r="L13" s="343">
        <v>0</v>
      </c>
      <c r="M13" s="423">
        <f>SUM(Table_Default__XLS_TAB_10[[#This Row],[AGE_LEVEL_LESS_20]:[AGE_LEVEL_NOT_STATED]])</f>
        <v>57</v>
      </c>
      <c r="N13" s="441" t="s">
        <v>436</v>
      </c>
    </row>
    <row r="14" spans="1:18" ht="28.5" customHeight="1">
      <c r="A14" s="954" t="s">
        <v>17</v>
      </c>
      <c r="B14" s="922">
        <f>SUBTOTAL(109,Table_Default__XLS_TAB_10[AGE_LEVEL_LESS_20])</f>
        <v>377</v>
      </c>
      <c r="C14" s="922">
        <f>SUBTOTAL(109,Table_Default__XLS_TAB_10[AGE_LEVEL_20_24])</f>
        <v>1321</v>
      </c>
      <c r="D14" s="922">
        <f>SUBTOTAL(109,Table_Default__XLS_TAB_10[AGE_LEVEL_25_29])</f>
        <v>973</v>
      </c>
      <c r="E14" s="922">
        <f>SUBTOTAL(109,Table_Default__XLS_TAB_10[AGE_LEVEL_30_34])</f>
        <v>466</v>
      </c>
      <c r="F14" s="922">
        <f>SUBTOTAL(109,Table_Default__XLS_TAB_10[AGE_LEVEL_35_39])</f>
        <v>242</v>
      </c>
      <c r="G14" s="922">
        <f>SUBTOTAL(109,Table_Default__XLS_TAB_10[AGE_LEVEL_40_44])</f>
        <v>134</v>
      </c>
      <c r="H14" s="922">
        <f>SUBTOTAL(109,Table_Default__XLS_TAB_10[AGE_LEVEL_45_49])</f>
        <v>65</v>
      </c>
      <c r="I14" s="922">
        <f>SUBTOTAL(109,Table_Default__XLS_TAB_10[AGE_LEVEL_50_54])</f>
        <v>28</v>
      </c>
      <c r="J14" s="922">
        <f>SUBTOTAL(109,Table_Default__XLS_TAB_10[AGE_LEVEL_55_59])</f>
        <v>10</v>
      </c>
      <c r="K14" s="922">
        <f>SUBTOTAL(109,Table_Default__XLS_TAB_10[AGE_LEVEL_UP_60])</f>
        <v>4</v>
      </c>
      <c r="L14" s="922">
        <f>SUBTOTAL(109,Table_Default__XLS_TAB_10[AGE_LEVEL_NOT_STATED])</f>
        <v>1</v>
      </c>
      <c r="M14" s="922">
        <f>SUBTOTAL(109,Table_Default__XLS_TAB_10[TOTAL])</f>
        <v>3621</v>
      </c>
      <c r="N14" s="955" t="s">
        <v>56</v>
      </c>
    </row>
  </sheetData>
  <mergeCells count="7">
    <mergeCell ref="A6:A7"/>
    <mergeCell ref="B6:M6"/>
    <mergeCell ref="N6:N7"/>
    <mergeCell ref="A1:N1"/>
    <mergeCell ref="A2:N2"/>
    <mergeCell ref="A3:N3"/>
    <mergeCell ref="A4:N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3"/>
  <sheetViews>
    <sheetView rightToLeft="1" view="pageBreakPreview" topLeftCell="A4" zoomScaleNormal="100" zoomScaleSheetLayoutView="100" workbookViewId="0">
      <selection activeCell="N7" sqref="N7:N8"/>
    </sheetView>
  </sheetViews>
  <sheetFormatPr defaultColWidth="9.140625" defaultRowHeight="12.75"/>
  <cols>
    <col min="1" max="1" width="17.42578125" style="1" customWidth="1"/>
    <col min="2" max="2" width="8.42578125" style="1" customWidth="1"/>
    <col min="3" max="3" width="8.85546875" style="1" customWidth="1"/>
    <col min="4" max="4" width="8.42578125" style="1" customWidth="1"/>
    <col min="5" max="5" width="9" style="1" customWidth="1"/>
    <col min="6" max="6" width="8.42578125" style="1" customWidth="1"/>
    <col min="7" max="7" width="7.5703125" style="1" customWidth="1"/>
    <col min="8" max="8" width="9" style="1" customWidth="1"/>
    <col min="9" max="9" width="7.42578125" style="1" customWidth="1"/>
    <col min="10" max="10" width="6.5703125" style="1" customWidth="1"/>
    <col min="11" max="11" width="7.42578125" style="1" customWidth="1"/>
    <col min="12" max="12" width="8.42578125" style="1" customWidth="1"/>
    <col min="13" max="13" width="9.42578125" style="1" customWidth="1"/>
    <col min="14" max="14" width="26.5703125" style="1" customWidth="1"/>
    <col min="15" max="16384" width="9.140625" style="1"/>
  </cols>
  <sheetData>
    <row r="1" spans="1:18" s="2" customFormat="1" ht="21.75" customHeight="1">
      <c r="A1" s="1009" t="s">
        <v>145</v>
      </c>
      <c r="B1" s="1009"/>
      <c r="C1" s="1009"/>
      <c r="D1" s="1009"/>
      <c r="E1" s="1009"/>
      <c r="F1" s="1009"/>
      <c r="G1" s="1009"/>
      <c r="H1" s="1009"/>
      <c r="I1" s="1009"/>
      <c r="J1" s="1009"/>
      <c r="K1" s="1009"/>
      <c r="L1" s="1009"/>
      <c r="M1" s="1009"/>
      <c r="N1" s="1009"/>
    </row>
    <row r="2" spans="1:18" s="2" customFormat="1" ht="15.75">
      <c r="A2" s="1036" t="s">
        <v>144</v>
      </c>
      <c r="B2" s="1036"/>
      <c r="C2" s="1036"/>
      <c r="D2" s="1036"/>
      <c r="E2" s="1036"/>
      <c r="F2" s="1036"/>
      <c r="G2" s="1036"/>
      <c r="H2" s="1036"/>
      <c r="I2" s="1036"/>
      <c r="J2" s="1036"/>
      <c r="K2" s="1036"/>
      <c r="L2" s="1036"/>
      <c r="M2" s="1036"/>
      <c r="N2" s="1036"/>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t="s">
        <v>53</v>
      </c>
      <c r="B4" s="1037"/>
      <c r="C4" s="1037"/>
      <c r="D4" s="1037"/>
      <c r="E4" s="1037"/>
      <c r="F4" s="1037"/>
      <c r="G4" s="1037"/>
      <c r="H4" s="1037"/>
      <c r="I4" s="1037"/>
      <c r="J4" s="1037"/>
      <c r="K4" s="1037"/>
      <c r="L4" s="1037"/>
      <c r="M4" s="1037"/>
      <c r="N4" s="1037"/>
    </row>
    <row r="5" spans="1:18" s="2" customFormat="1" ht="15.75">
      <c r="A5" s="361"/>
      <c r="B5" s="361"/>
      <c r="C5" s="361"/>
      <c r="D5" s="361"/>
      <c r="E5" s="361"/>
      <c r="F5" s="361"/>
      <c r="G5" s="361"/>
      <c r="H5" s="361"/>
      <c r="I5" s="361"/>
      <c r="J5" s="361"/>
      <c r="K5" s="361"/>
      <c r="L5" s="361"/>
      <c r="M5" s="361"/>
      <c r="N5" s="361"/>
    </row>
    <row r="6" spans="1:18" s="31" customFormat="1" ht="15.75">
      <c r="A6" s="373" t="s">
        <v>150</v>
      </c>
      <c r="B6" s="374"/>
      <c r="C6" s="374"/>
      <c r="D6" s="374"/>
      <c r="E6" s="374"/>
      <c r="F6" s="374"/>
      <c r="G6" s="374"/>
      <c r="H6" s="374"/>
      <c r="I6" s="374"/>
      <c r="J6" s="374"/>
      <c r="K6" s="374"/>
      <c r="L6" s="374"/>
      <c r="M6" s="374"/>
      <c r="N6" s="375" t="s">
        <v>149</v>
      </c>
    </row>
    <row r="7" spans="1:18" ht="26.25" customHeight="1" thickBot="1">
      <c r="A7" s="1099" t="s">
        <v>143</v>
      </c>
      <c r="B7" s="1087" t="s">
        <v>136</v>
      </c>
      <c r="C7" s="1087"/>
      <c r="D7" s="1087"/>
      <c r="E7" s="1087"/>
      <c r="F7" s="1087"/>
      <c r="G7" s="1087"/>
      <c r="H7" s="1087"/>
      <c r="I7" s="1087"/>
      <c r="J7" s="1087"/>
      <c r="K7" s="1087"/>
      <c r="L7" s="1087"/>
      <c r="M7" s="1087"/>
      <c r="N7" s="1106" t="s">
        <v>142</v>
      </c>
    </row>
    <row r="8" spans="1:18" ht="39.75" customHeight="1">
      <c r="A8" s="1100"/>
      <c r="B8" s="326">
        <v>-20</v>
      </c>
      <c r="C8" s="326" t="s">
        <v>128</v>
      </c>
      <c r="D8" s="326" t="s">
        <v>127</v>
      </c>
      <c r="E8" s="326" t="s">
        <v>126</v>
      </c>
      <c r="F8" s="326" t="s">
        <v>125</v>
      </c>
      <c r="G8" s="326" t="s">
        <v>124</v>
      </c>
      <c r="H8" s="326" t="s">
        <v>123</v>
      </c>
      <c r="I8" s="326" t="s">
        <v>122</v>
      </c>
      <c r="J8" s="326" t="s">
        <v>121</v>
      </c>
      <c r="K8" s="326" t="s">
        <v>133</v>
      </c>
      <c r="L8" s="327" t="s">
        <v>604</v>
      </c>
      <c r="M8" s="512" t="s">
        <v>605</v>
      </c>
      <c r="N8" s="1107"/>
    </row>
    <row r="9" spans="1:18" ht="18.75" customHeight="1" thickBot="1">
      <c r="A9" s="160" t="s">
        <v>437</v>
      </c>
      <c r="B9" s="340">
        <v>20</v>
      </c>
      <c r="C9" s="340">
        <v>9</v>
      </c>
      <c r="D9" s="340">
        <v>0</v>
      </c>
      <c r="E9" s="340">
        <v>0</v>
      </c>
      <c r="F9" s="340">
        <v>0</v>
      </c>
      <c r="G9" s="340">
        <v>0</v>
      </c>
      <c r="H9" s="340">
        <v>0</v>
      </c>
      <c r="I9" s="340">
        <v>0</v>
      </c>
      <c r="J9" s="340">
        <v>0</v>
      </c>
      <c r="K9" s="340">
        <v>0</v>
      </c>
      <c r="L9" s="340">
        <v>0</v>
      </c>
      <c r="M9" s="341">
        <f>SUM(Table_Default__XLS_TAB_11_1[[#This Row],[AGE_LEVEL_LESS_20]:[AGE_LEVEL_NOT_STATED]])</f>
        <v>29</v>
      </c>
      <c r="N9" s="158" t="s">
        <v>437</v>
      </c>
    </row>
    <row r="10" spans="1:18" ht="18.75" customHeight="1" thickBot="1">
      <c r="A10" s="161" t="s">
        <v>128</v>
      </c>
      <c r="B10" s="342">
        <v>144</v>
      </c>
      <c r="C10" s="342">
        <v>377</v>
      </c>
      <c r="D10" s="342">
        <v>47</v>
      </c>
      <c r="E10" s="342">
        <v>4</v>
      </c>
      <c r="F10" s="342">
        <v>2</v>
      </c>
      <c r="G10" s="342">
        <v>0</v>
      </c>
      <c r="H10" s="342">
        <v>0</v>
      </c>
      <c r="I10" s="342">
        <v>0</v>
      </c>
      <c r="J10" s="342">
        <v>0</v>
      </c>
      <c r="K10" s="342">
        <v>0</v>
      </c>
      <c r="L10" s="342">
        <v>0</v>
      </c>
      <c r="M10" s="341">
        <f>SUM(Table_Default__XLS_TAB_11_1[[#This Row],[AGE_LEVEL_LESS_20]:[AGE_LEVEL_NOT_STATED]])</f>
        <v>574</v>
      </c>
      <c r="N10" s="159" t="s">
        <v>128</v>
      </c>
    </row>
    <row r="11" spans="1:18" ht="18.75" customHeight="1" thickBot="1">
      <c r="A11" s="161" t="s">
        <v>127</v>
      </c>
      <c r="B11" s="342">
        <v>81</v>
      </c>
      <c r="C11" s="342">
        <v>408</v>
      </c>
      <c r="D11" s="342">
        <v>288</v>
      </c>
      <c r="E11" s="342">
        <v>25</v>
      </c>
      <c r="F11" s="342">
        <v>6</v>
      </c>
      <c r="G11" s="342">
        <v>2</v>
      </c>
      <c r="H11" s="342">
        <v>0</v>
      </c>
      <c r="I11" s="342">
        <v>0</v>
      </c>
      <c r="J11" s="342">
        <v>0</v>
      </c>
      <c r="K11" s="342">
        <v>0</v>
      </c>
      <c r="L11" s="342">
        <v>0</v>
      </c>
      <c r="M11" s="341">
        <f>SUM(Table_Default__XLS_TAB_11_1[[#This Row],[AGE_LEVEL_LESS_20]:[AGE_LEVEL_NOT_STATED]])</f>
        <v>810</v>
      </c>
      <c r="N11" s="159" t="s">
        <v>127</v>
      </c>
    </row>
    <row r="12" spans="1:18" ht="18.75" customHeight="1" thickBot="1">
      <c r="A12" s="161" t="s">
        <v>126</v>
      </c>
      <c r="B12" s="342">
        <v>14</v>
      </c>
      <c r="C12" s="342">
        <v>80</v>
      </c>
      <c r="D12" s="342">
        <v>138</v>
      </c>
      <c r="E12" s="342">
        <v>71</v>
      </c>
      <c r="F12" s="342">
        <v>13</v>
      </c>
      <c r="G12" s="342">
        <v>12</v>
      </c>
      <c r="H12" s="342">
        <v>2</v>
      </c>
      <c r="I12" s="342">
        <v>0</v>
      </c>
      <c r="J12" s="342">
        <v>0</v>
      </c>
      <c r="K12" s="342">
        <v>0</v>
      </c>
      <c r="L12" s="342">
        <v>0</v>
      </c>
      <c r="M12" s="341">
        <f>SUM(Table_Default__XLS_TAB_11_1[[#This Row],[AGE_LEVEL_LESS_20]:[AGE_LEVEL_NOT_STATED]])</f>
        <v>330</v>
      </c>
      <c r="N12" s="159" t="s">
        <v>126</v>
      </c>
    </row>
    <row r="13" spans="1:18" ht="18.75" customHeight="1" thickBot="1">
      <c r="A13" s="161" t="s">
        <v>125</v>
      </c>
      <c r="B13" s="342">
        <v>0</v>
      </c>
      <c r="C13" s="342">
        <v>13</v>
      </c>
      <c r="D13" s="342">
        <v>22</v>
      </c>
      <c r="E13" s="342">
        <v>44</v>
      </c>
      <c r="F13" s="342">
        <v>30</v>
      </c>
      <c r="G13" s="342">
        <v>8</v>
      </c>
      <c r="H13" s="342">
        <v>1</v>
      </c>
      <c r="I13" s="342">
        <v>0</v>
      </c>
      <c r="J13" s="342">
        <v>0</v>
      </c>
      <c r="K13" s="342">
        <v>0</v>
      </c>
      <c r="L13" s="342">
        <v>0</v>
      </c>
      <c r="M13" s="341">
        <f>SUM(Table_Default__XLS_TAB_11_1[[#This Row],[AGE_LEVEL_LESS_20]:[AGE_LEVEL_NOT_STATED]])</f>
        <v>118</v>
      </c>
      <c r="N13" s="159" t="s">
        <v>125</v>
      </c>
    </row>
    <row r="14" spans="1:18" ht="18.75" customHeight="1" thickBot="1">
      <c r="A14" s="161" t="s">
        <v>124</v>
      </c>
      <c r="B14" s="342">
        <v>1</v>
      </c>
      <c r="C14" s="342">
        <v>1</v>
      </c>
      <c r="D14" s="342">
        <v>9</v>
      </c>
      <c r="E14" s="342">
        <v>30</v>
      </c>
      <c r="F14" s="342">
        <v>28</v>
      </c>
      <c r="G14" s="342">
        <v>14</v>
      </c>
      <c r="H14" s="342">
        <v>2</v>
      </c>
      <c r="I14" s="342">
        <v>1</v>
      </c>
      <c r="J14" s="342">
        <v>0</v>
      </c>
      <c r="K14" s="342">
        <v>0</v>
      </c>
      <c r="L14" s="342">
        <v>0</v>
      </c>
      <c r="M14" s="341">
        <f>SUM(Table_Default__XLS_TAB_11_1[[#This Row],[AGE_LEVEL_LESS_20]:[AGE_LEVEL_NOT_STATED]])</f>
        <v>86</v>
      </c>
      <c r="N14" s="159" t="s">
        <v>124</v>
      </c>
    </row>
    <row r="15" spans="1:18" ht="18.75" customHeight="1" thickBot="1">
      <c r="A15" s="161" t="s">
        <v>123</v>
      </c>
      <c r="B15" s="342">
        <v>1</v>
      </c>
      <c r="C15" s="342">
        <v>2</v>
      </c>
      <c r="D15" s="342">
        <v>8</v>
      </c>
      <c r="E15" s="342">
        <v>10</v>
      </c>
      <c r="F15" s="342">
        <v>11</v>
      </c>
      <c r="G15" s="342">
        <v>15</v>
      </c>
      <c r="H15" s="342">
        <v>7</v>
      </c>
      <c r="I15" s="342">
        <v>3</v>
      </c>
      <c r="J15" s="342">
        <v>0</v>
      </c>
      <c r="K15" s="342">
        <v>0</v>
      </c>
      <c r="L15" s="342">
        <v>0</v>
      </c>
      <c r="M15" s="341">
        <f>SUM(Table_Default__XLS_TAB_11_1[[#This Row],[AGE_LEVEL_LESS_20]:[AGE_LEVEL_NOT_STATED]])</f>
        <v>57</v>
      </c>
      <c r="N15" s="159" t="s">
        <v>123</v>
      </c>
    </row>
    <row r="16" spans="1:18" ht="18.75" customHeight="1" thickBot="1">
      <c r="A16" s="161" t="s">
        <v>122</v>
      </c>
      <c r="B16" s="342">
        <v>0</v>
      </c>
      <c r="C16" s="342">
        <v>2</v>
      </c>
      <c r="D16" s="342">
        <v>2</v>
      </c>
      <c r="E16" s="342">
        <v>11</v>
      </c>
      <c r="F16" s="342">
        <v>6</v>
      </c>
      <c r="G16" s="342">
        <v>8</v>
      </c>
      <c r="H16" s="342">
        <v>8</v>
      </c>
      <c r="I16" s="342">
        <v>1</v>
      </c>
      <c r="J16" s="342">
        <v>3</v>
      </c>
      <c r="K16" s="342">
        <v>0</v>
      </c>
      <c r="L16" s="342">
        <v>0</v>
      </c>
      <c r="M16" s="341">
        <f>SUM(Table_Default__XLS_TAB_11_1[[#This Row],[AGE_LEVEL_LESS_20]:[AGE_LEVEL_NOT_STATED]])</f>
        <v>41</v>
      </c>
      <c r="N16" s="159" t="s">
        <v>122</v>
      </c>
    </row>
    <row r="17" spans="1:14" ht="18.75" customHeight="1" thickBot="1">
      <c r="A17" s="161" t="s">
        <v>121</v>
      </c>
      <c r="B17" s="342">
        <v>0</v>
      </c>
      <c r="C17" s="342">
        <v>1</v>
      </c>
      <c r="D17" s="342">
        <v>0</v>
      </c>
      <c r="E17" s="342">
        <v>4</v>
      </c>
      <c r="F17" s="342">
        <v>2</v>
      </c>
      <c r="G17" s="342">
        <v>2</v>
      </c>
      <c r="H17" s="342">
        <v>2</v>
      </c>
      <c r="I17" s="342">
        <v>2</v>
      </c>
      <c r="J17" s="342">
        <v>1</v>
      </c>
      <c r="K17" s="342">
        <v>0</v>
      </c>
      <c r="L17" s="342">
        <v>0</v>
      </c>
      <c r="M17" s="341">
        <f>SUM(Table_Default__XLS_TAB_11_1[[#This Row],[AGE_LEVEL_LESS_20]:[AGE_LEVEL_NOT_STATED]])</f>
        <v>14</v>
      </c>
      <c r="N17" s="159" t="s">
        <v>121</v>
      </c>
    </row>
    <row r="18" spans="1:14" ht="18.75" customHeight="1" thickBot="1">
      <c r="A18" s="161" t="s">
        <v>120</v>
      </c>
      <c r="B18" s="342">
        <v>0</v>
      </c>
      <c r="C18" s="342">
        <v>0</v>
      </c>
      <c r="D18" s="342">
        <v>0</v>
      </c>
      <c r="E18" s="342">
        <v>0</v>
      </c>
      <c r="F18" s="342">
        <v>2</v>
      </c>
      <c r="G18" s="342">
        <v>2</v>
      </c>
      <c r="H18" s="342">
        <v>2</v>
      </c>
      <c r="I18" s="342">
        <v>1</v>
      </c>
      <c r="J18" s="342">
        <v>2</v>
      </c>
      <c r="K18" s="342">
        <v>1</v>
      </c>
      <c r="L18" s="342">
        <v>0</v>
      </c>
      <c r="M18" s="341">
        <f>SUM(Table_Default__XLS_TAB_11_1[[#This Row],[AGE_LEVEL_LESS_20]:[AGE_LEVEL_NOT_STATED]])</f>
        <v>10</v>
      </c>
      <c r="N18" s="159" t="s">
        <v>120</v>
      </c>
    </row>
    <row r="19" spans="1:14" ht="18.75" customHeight="1" thickBot="1">
      <c r="A19" s="161" t="s">
        <v>119</v>
      </c>
      <c r="B19" s="342">
        <v>0</v>
      </c>
      <c r="C19" s="342">
        <v>0</v>
      </c>
      <c r="D19" s="342">
        <v>0</v>
      </c>
      <c r="E19" s="342">
        <v>1</v>
      </c>
      <c r="F19" s="342">
        <v>1</v>
      </c>
      <c r="G19" s="342">
        <v>0</v>
      </c>
      <c r="H19" s="342">
        <v>0</v>
      </c>
      <c r="I19" s="342">
        <v>1</v>
      </c>
      <c r="J19" s="342">
        <v>1</v>
      </c>
      <c r="K19" s="342">
        <v>0</v>
      </c>
      <c r="L19" s="342">
        <v>0</v>
      </c>
      <c r="M19" s="341">
        <f>SUM(Table_Default__XLS_TAB_11_1[[#This Row],[AGE_LEVEL_LESS_20]:[AGE_LEVEL_NOT_STATED]])</f>
        <v>4</v>
      </c>
      <c r="N19" s="159" t="s">
        <v>119</v>
      </c>
    </row>
    <row r="20" spans="1:14" ht="18.75" customHeight="1" thickBot="1">
      <c r="A20" s="161" t="s">
        <v>118</v>
      </c>
      <c r="B20" s="342">
        <v>0</v>
      </c>
      <c r="C20" s="342">
        <v>0</v>
      </c>
      <c r="D20" s="342">
        <v>0</v>
      </c>
      <c r="E20" s="342">
        <v>0</v>
      </c>
      <c r="F20" s="342">
        <v>1</v>
      </c>
      <c r="G20" s="342">
        <v>0</v>
      </c>
      <c r="H20" s="342">
        <v>1</v>
      </c>
      <c r="I20" s="342">
        <v>1</v>
      </c>
      <c r="J20" s="342">
        <v>0</v>
      </c>
      <c r="K20" s="342">
        <v>0</v>
      </c>
      <c r="L20" s="342">
        <v>0</v>
      </c>
      <c r="M20" s="341">
        <f>SUM(Table_Default__XLS_TAB_11_1[[#This Row],[AGE_LEVEL_LESS_20]:[AGE_LEVEL_NOT_STATED]])</f>
        <v>3</v>
      </c>
      <c r="N20" s="159" t="s">
        <v>118</v>
      </c>
    </row>
    <row r="21" spans="1:14" ht="18.75" customHeight="1" thickBot="1">
      <c r="A21" s="161" t="s">
        <v>117</v>
      </c>
      <c r="B21" s="342">
        <v>0</v>
      </c>
      <c r="C21" s="342">
        <v>0</v>
      </c>
      <c r="D21" s="342">
        <v>0</v>
      </c>
      <c r="E21" s="342">
        <v>0</v>
      </c>
      <c r="F21" s="342">
        <v>0</v>
      </c>
      <c r="G21" s="342">
        <v>0</v>
      </c>
      <c r="H21" s="342">
        <v>1</v>
      </c>
      <c r="I21" s="342">
        <v>0</v>
      </c>
      <c r="J21" s="342">
        <v>0</v>
      </c>
      <c r="K21" s="342">
        <v>0</v>
      </c>
      <c r="L21" s="342">
        <v>0</v>
      </c>
      <c r="M21" s="341">
        <f>SUM(Table_Default__XLS_TAB_11_1[[#This Row],[AGE_LEVEL_LESS_20]:[AGE_LEVEL_NOT_STATED]])</f>
        <v>1</v>
      </c>
      <c r="N21" s="159" t="s">
        <v>117</v>
      </c>
    </row>
    <row r="22" spans="1:14" ht="18.75" customHeight="1">
      <c r="A22" s="162" t="s">
        <v>15</v>
      </c>
      <c r="B22" s="343">
        <v>0</v>
      </c>
      <c r="C22" s="343">
        <v>0</v>
      </c>
      <c r="D22" s="343">
        <v>0</v>
      </c>
      <c r="E22" s="343">
        <v>0</v>
      </c>
      <c r="F22" s="343">
        <v>0</v>
      </c>
      <c r="G22" s="343">
        <v>0</v>
      </c>
      <c r="H22" s="343">
        <v>0</v>
      </c>
      <c r="I22" s="343">
        <v>0</v>
      </c>
      <c r="J22" s="343">
        <v>0</v>
      </c>
      <c r="K22" s="343">
        <v>0</v>
      </c>
      <c r="L22" s="343">
        <v>0</v>
      </c>
      <c r="M22" s="423">
        <f>SUM(Table_Default__XLS_TAB_11_1[[#This Row],[AGE_LEVEL_LESS_20]:[AGE_LEVEL_NOT_STATED]])</f>
        <v>0</v>
      </c>
      <c r="N22" s="163" t="s">
        <v>16</v>
      </c>
    </row>
    <row r="23" spans="1:14" ht="18.75" customHeight="1">
      <c r="A23" s="952" t="s">
        <v>17</v>
      </c>
      <c r="B23" s="922">
        <f>SUBTOTAL(109,Table_Default__XLS_TAB_11_1[AGE_LEVEL_LESS_20])</f>
        <v>261</v>
      </c>
      <c r="C23" s="922">
        <f>SUBTOTAL(109,Table_Default__XLS_TAB_11_1[AGE_LEVEL_20_24])</f>
        <v>893</v>
      </c>
      <c r="D23" s="922">
        <f>SUBTOTAL(109,Table_Default__XLS_TAB_11_1[AGE_LEVEL_25_29])</f>
        <v>514</v>
      </c>
      <c r="E23" s="922">
        <f>SUBTOTAL(109,Table_Default__XLS_TAB_11_1[AGE_LEVEL_30_34])</f>
        <v>200</v>
      </c>
      <c r="F23" s="922">
        <f>SUBTOTAL(109,Table_Default__XLS_TAB_11_1[AGE_LEVEL_35_39])</f>
        <v>102</v>
      </c>
      <c r="G23" s="922">
        <f>SUBTOTAL(109,Table_Default__XLS_TAB_11_1[AGE_LEVEL_40_44])</f>
        <v>63</v>
      </c>
      <c r="H23" s="922">
        <f>SUBTOTAL(109,Table_Default__XLS_TAB_11_1[AGE_LEVEL_45_49])</f>
        <v>26</v>
      </c>
      <c r="I23" s="922">
        <f>SUBTOTAL(109,Table_Default__XLS_TAB_11_1[AGE_LEVEL_50_54])</f>
        <v>10</v>
      </c>
      <c r="J23" s="922">
        <f>SUBTOTAL(109,Table_Default__XLS_TAB_11_1[AGE_LEVEL_55_59])</f>
        <v>7</v>
      </c>
      <c r="K23" s="922">
        <f>SUBTOTAL(109,Table_Default__XLS_TAB_11_1[AGE_LEVEL_UP_60])</f>
        <v>1</v>
      </c>
      <c r="L23" s="922">
        <f>SUBTOTAL(109,Table_Default__XLS_TAB_11_1[AGE_LEVEL_NOT_STATED])</f>
        <v>0</v>
      </c>
      <c r="M23" s="922">
        <f>SUBTOTAL(109,Table_Default__XLS_TAB_11_1[TOTAL])</f>
        <v>2077</v>
      </c>
      <c r="N23" s="953" t="s">
        <v>56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23"/>
  <sheetViews>
    <sheetView rightToLeft="1" view="pageBreakPreview" topLeftCell="A4" zoomScaleNormal="100" zoomScaleSheetLayoutView="100" workbookViewId="0">
      <selection activeCell="N7" sqref="N7:N8"/>
    </sheetView>
  </sheetViews>
  <sheetFormatPr defaultColWidth="9.140625" defaultRowHeight="12.75"/>
  <cols>
    <col min="1" max="1" width="17.42578125" style="1" customWidth="1"/>
    <col min="2" max="2" width="8.42578125" style="1" customWidth="1"/>
    <col min="3" max="3" width="8.85546875" style="1" customWidth="1"/>
    <col min="4" max="4" width="8.42578125" style="1" customWidth="1"/>
    <col min="5" max="5" width="9" style="1" customWidth="1"/>
    <col min="6" max="6" width="8.42578125" style="1" customWidth="1"/>
    <col min="7" max="7" width="7.5703125" style="1" customWidth="1"/>
    <col min="8" max="8" width="9" style="1" customWidth="1"/>
    <col min="9" max="9" width="7.42578125" style="1" customWidth="1"/>
    <col min="10" max="10" width="6.5703125" style="1" customWidth="1"/>
    <col min="11" max="11" width="7.42578125" style="1" customWidth="1"/>
    <col min="12" max="12" width="8.42578125" style="1" customWidth="1"/>
    <col min="13" max="13" width="9.42578125" style="1" customWidth="1"/>
    <col min="14" max="14" width="26.5703125" style="1" customWidth="1"/>
    <col min="15" max="16384" width="9.140625" style="1"/>
  </cols>
  <sheetData>
    <row r="1" spans="1:18" s="2" customFormat="1" ht="21.75" customHeight="1">
      <c r="A1" s="1009" t="s">
        <v>145</v>
      </c>
      <c r="B1" s="1009"/>
      <c r="C1" s="1009"/>
      <c r="D1" s="1009"/>
      <c r="E1" s="1009"/>
      <c r="F1" s="1009"/>
      <c r="G1" s="1009"/>
      <c r="H1" s="1009"/>
      <c r="I1" s="1009"/>
      <c r="J1" s="1009"/>
      <c r="K1" s="1009"/>
      <c r="L1" s="1009"/>
      <c r="M1" s="1009"/>
      <c r="N1" s="1009"/>
    </row>
    <row r="2" spans="1:18" s="2" customFormat="1" ht="15.75">
      <c r="A2" s="1036" t="s">
        <v>144</v>
      </c>
      <c r="B2" s="1036"/>
      <c r="C2" s="1036"/>
      <c r="D2" s="1036"/>
      <c r="E2" s="1036"/>
      <c r="F2" s="1036"/>
      <c r="G2" s="1036"/>
      <c r="H2" s="1036"/>
      <c r="I2" s="1036"/>
      <c r="J2" s="1036"/>
      <c r="K2" s="1036"/>
      <c r="L2" s="1036"/>
      <c r="M2" s="1036"/>
      <c r="N2" s="1036"/>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t="s">
        <v>52</v>
      </c>
      <c r="B4" s="1037"/>
      <c r="C4" s="1037"/>
      <c r="D4" s="1037"/>
      <c r="E4" s="1037"/>
      <c r="F4" s="1037"/>
      <c r="G4" s="1037"/>
      <c r="H4" s="1037"/>
      <c r="I4" s="1037"/>
      <c r="J4" s="1037"/>
      <c r="K4" s="1037"/>
      <c r="L4" s="1037"/>
      <c r="M4" s="1037"/>
      <c r="N4" s="1037"/>
    </row>
    <row r="5" spans="1:18" s="2" customFormat="1" ht="15.75">
      <c r="A5" s="361"/>
      <c r="B5" s="361"/>
      <c r="C5" s="361"/>
      <c r="D5" s="361"/>
      <c r="E5" s="361"/>
      <c r="F5" s="361"/>
      <c r="G5" s="361"/>
      <c r="H5" s="361"/>
      <c r="I5" s="361"/>
      <c r="J5" s="361"/>
      <c r="K5" s="361"/>
      <c r="L5" s="361"/>
      <c r="M5" s="361"/>
      <c r="N5" s="361"/>
    </row>
    <row r="6" spans="1:18" s="31" customFormat="1" ht="15.75">
      <c r="A6" s="373" t="s">
        <v>154</v>
      </c>
      <c r="B6" s="374"/>
      <c r="C6" s="374"/>
      <c r="D6" s="374"/>
      <c r="E6" s="374"/>
      <c r="F6" s="374"/>
      <c r="G6" s="374"/>
      <c r="H6" s="374"/>
      <c r="I6" s="374"/>
      <c r="J6" s="374"/>
      <c r="K6" s="374"/>
      <c r="L6" s="374"/>
      <c r="M6" s="374"/>
      <c r="N6" s="375" t="s">
        <v>153</v>
      </c>
    </row>
    <row r="7" spans="1:18" ht="26.25" customHeight="1" thickBot="1">
      <c r="A7" s="1099" t="s">
        <v>143</v>
      </c>
      <c r="B7" s="1087" t="s">
        <v>136</v>
      </c>
      <c r="C7" s="1087"/>
      <c r="D7" s="1087"/>
      <c r="E7" s="1087"/>
      <c r="F7" s="1087"/>
      <c r="G7" s="1087"/>
      <c r="H7" s="1087"/>
      <c r="I7" s="1087"/>
      <c r="J7" s="1087"/>
      <c r="K7" s="1087"/>
      <c r="L7" s="1087"/>
      <c r="M7" s="1087"/>
      <c r="N7" s="1106" t="s">
        <v>142</v>
      </c>
    </row>
    <row r="8" spans="1:18" ht="39.75" customHeight="1">
      <c r="A8" s="1108"/>
      <c r="B8" s="319">
        <v>-20</v>
      </c>
      <c r="C8" s="319" t="s">
        <v>128</v>
      </c>
      <c r="D8" s="319" t="s">
        <v>127</v>
      </c>
      <c r="E8" s="319" t="s">
        <v>126</v>
      </c>
      <c r="F8" s="319" t="s">
        <v>125</v>
      </c>
      <c r="G8" s="319" t="s">
        <v>124</v>
      </c>
      <c r="H8" s="319" t="s">
        <v>123</v>
      </c>
      <c r="I8" s="319" t="s">
        <v>122</v>
      </c>
      <c r="J8" s="319" t="s">
        <v>121</v>
      </c>
      <c r="K8" s="319" t="s">
        <v>133</v>
      </c>
      <c r="L8" s="328" t="s">
        <v>604</v>
      </c>
      <c r="M8" s="325" t="s">
        <v>605</v>
      </c>
      <c r="N8" s="1109"/>
    </row>
    <row r="9" spans="1:18" ht="18.75" customHeight="1" thickBot="1">
      <c r="A9" s="160" t="s">
        <v>437</v>
      </c>
      <c r="B9" s="340">
        <v>6</v>
      </c>
      <c r="C9" s="340">
        <v>2</v>
      </c>
      <c r="D9" s="340">
        <v>0</v>
      </c>
      <c r="E9" s="340">
        <v>0</v>
      </c>
      <c r="F9" s="340">
        <v>0</v>
      </c>
      <c r="G9" s="340">
        <v>0</v>
      </c>
      <c r="H9" s="340">
        <v>0</v>
      </c>
      <c r="I9" s="340">
        <v>0</v>
      </c>
      <c r="J9" s="340">
        <v>0</v>
      </c>
      <c r="K9" s="340">
        <v>0</v>
      </c>
      <c r="L9" s="340">
        <v>0</v>
      </c>
      <c r="M9" s="341">
        <f>SUM(Table_Default__XLS_TAB_11_2[[#This Row],[AGE_LEVEL_LESS_20]:[AGE_LEVEL_NOT_STATED]])</f>
        <v>8</v>
      </c>
      <c r="N9" s="158" t="s">
        <v>437</v>
      </c>
    </row>
    <row r="10" spans="1:18" ht="18.75" customHeight="1" thickBot="1">
      <c r="A10" s="161" t="s">
        <v>128</v>
      </c>
      <c r="B10" s="342">
        <v>50</v>
      </c>
      <c r="C10" s="342">
        <v>120</v>
      </c>
      <c r="D10" s="342">
        <v>26</v>
      </c>
      <c r="E10" s="342">
        <v>4</v>
      </c>
      <c r="F10" s="342">
        <v>3</v>
      </c>
      <c r="G10" s="342">
        <v>0</v>
      </c>
      <c r="H10" s="342">
        <v>0</v>
      </c>
      <c r="I10" s="342">
        <v>0</v>
      </c>
      <c r="J10" s="342">
        <v>0</v>
      </c>
      <c r="K10" s="342">
        <v>0</v>
      </c>
      <c r="L10" s="342">
        <v>0</v>
      </c>
      <c r="M10" s="341">
        <f>SUM(Table_Default__XLS_TAB_11_2[[#This Row],[AGE_LEVEL_LESS_20]:[AGE_LEVEL_NOT_STATED]])</f>
        <v>203</v>
      </c>
      <c r="N10" s="159" t="s">
        <v>128</v>
      </c>
    </row>
    <row r="11" spans="1:18" ht="18.75" customHeight="1" thickBot="1">
      <c r="A11" s="161" t="s">
        <v>127</v>
      </c>
      <c r="B11" s="342">
        <v>49</v>
      </c>
      <c r="C11" s="342">
        <v>214</v>
      </c>
      <c r="D11" s="342">
        <v>202</v>
      </c>
      <c r="E11" s="342">
        <v>57</v>
      </c>
      <c r="F11" s="342">
        <v>14</v>
      </c>
      <c r="G11" s="342">
        <v>3</v>
      </c>
      <c r="H11" s="342">
        <v>2</v>
      </c>
      <c r="I11" s="342">
        <v>0</v>
      </c>
      <c r="J11" s="342">
        <v>0</v>
      </c>
      <c r="K11" s="342">
        <v>0</v>
      </c>
      <c r="L11" s="342">
        <v>0</v>
      </c>
      <c r="M11" s="341">
        <f>SUM(Table_Default__XLS_TAB_11_2[[#This Row],[AGE_LEVEL_LESS_20]:[AGE_LEVEL_NOT_STATED]])</f>
        <v>541</v>
      </c>
      <c r="N11" s="159" t="s">
        <v>127</v>
      </c>
    </row>
    <row r="12" spans="1:18" ht="18.75" customHeight="1" thickBot="1">
      <c r="A12" s="161" t="s">
        <v>126</v>
      </c>
      <c r="B12" s="342">
        <v>10</v>
      </c>
      <c r="C12" s="342">
        <v>75</v>
      </c>
      <c r="D12" s="342">
        <v>154</v>
      </c>
      <c r="E12" s="342">
        <v>95</v>
      </c>
      <c r="F12" s="342">
        <v>33</v>
      </c>
      <c r="G12" s="342">
        <v>6</v>
      </c>
      <c r="H12" s="342">
        <v>3</v>
      </c>
      <c r="I12" s="342">
        <v>3</v>
      </c>
      <c r="J12" s="342">
        <v>0</v>
      </c>
      <c r="K12" s="342">
        <v>0</v>
      </c>
      <c r="L12" s="342">
        <v>1</v>
      </c>
      <c r="M12" s="341">
        <f>SUM(Table_Default__XLS_TAB_11_2[[#This Row],[AGE_LEVEL_LESS_20]:[AGE_LEVEL_NOT_STATED]])</f>
        <v>380</v>
      </c>
      <c r="N12" s="159" t="s">
        <v>126</v>
      </c>
    </row>
    <row r="13" spans="1:18" ht="18.75" customHeight="1" thickBot="1">
      <c r="A13" s="161" t="s">
        <v>125</v>
      </c>
      <c r="B13" s="342">
        <v>1</v>
      </c>
      <c r="C13" s="342">
        <v>12</v>
      </c>
      <c r="D13" s="342">
        <v>50</v>
      </c>
      <c r="E13" s="342">
        <v>66</v>
      </c>
      <c r="F13" s="342">
        <v>37</v>
      </c>
      <c r="G13" s="342">
        <v>16</v>
      </c>
      <c r="H13" s="342">
        <v>5</v>
      </c>
      <c r="I13" s="342">
        <v>2</v>
      </c>
      <c r="J13" s="342">
        <v>0</v>
      </c>
      <c r="K13" s="342">
        <v>1</v>
      </c>
      <c r="L13" s="342">
        <v>0</v>
      </c>
      <c r="M13" s="341">
        <f>SUM(Table_Default__XLS_TAB_11_2[[#This Row],[AGE_LEVEL_LESS_20]:[AGE_LEVEL_NOT_STATED]])</f>
        <v>190</v>
      </c>
      <c r="N13" s="159" t="s">
        <v>125</v>
      </c>
    </row>
    <row r="14" spans="1:18" ht="18.75" customHeight="1" thickBot="1">
      <c r="A14" s="161" t="s">
        <v>124</v>
      </c>
      <c r="B14" s="342">
        <v>0</v>
      </c>
      <c r="C14" s="342">
        <v>3</v>
      </c>
      <c r="D14" s="342">
        <v>16</v>
      </c>
      <c r="E14" s="342">
        <v>22</v>
      </c>
      <c r="F14" s="342">
        <v>27</v>
      </c>
      <c r="G14" s="342">
        <v>15</v>
      </c>
      <c r="H14" s="342">
        <v>5</v>
      </c>
      <c r="I14" s="342">
        <v>0</v>
      </c>
      <c r="J14" s="342">
        <v>0</v>
      </c>
      <c r="K14" s="342">
        <v>0</v>
      </c>
      <c r="L14" s="342">
        <v>0</v>
      </c>
      <c r="M14" s="341">
        <f>SUM(Table_Default__XLS_TAB_11_2[[#This Row],[AGE_LEVEL_LESS_20]:[AGE_LEVEL_NOT_STATED]])</f>
        <v>88</v>
      </c>
      <c r="N14" s="159" t="s">
        <v>124</v>
      </c>
    </row>
    <row r="15" spans="1:18" ht="18.75" customHeight="1" thickBot="1">
      <c r="A15" s="161" t="s">
        <v>123</v>
      </c>
      <c r="B15" s="342">
        <v>0</v>
      </c>
      <c r="C15" s="342">
        <v>2</v>
      </c>
      <c r="D15" s="342">
        <v>6</v>
      </c>
      <c r="E15" s="342">
        <v>14</v>
      </c>
      <c r="F15" s="342">
        <v>14</v>
      </c>
      <c r="G15" s="342">
        <v>10</v>
      </c>
      <c r="H15" s="342">
        <v>5</v>
      </c>
      <c r="I15" s="342">
        <v>1</v>
      </c>
      <c r="J15" s="342">
        <v>3</v>
      </c>
      <c r="K15" s="342">
        <v>0</v>
      </c>
      <c r="L15" s="342">
        <v>0</v>
      </c>
      <c r="M15" s="341">
        <f>SUM(Table_Default__XLS_TAB_11_2[[#This Row],[AGE_LEVEL_LESS_20]:[AGE_LEVEL_NOT_STATED]])</f>
        <v>55</v>
      </c>
      <c r="N15" s="159" t="s">
        <v>123</v>
      </c>
    </row>
    <row r="16" spans="1:18" ht="18.75" customHeight="1" thickBot="1">
      <c r="A16" s="161" t="s">
        <v>122</v>
      </c>
      <c r="B16" s="342">
        <v>0</v>
      </c>
      <c r="C16" s="342">
        <v>0</v>
      </c>
      <c r="D16" s="342">
        <v>4</v>
      </c>
      <c r="E16" s="342">
        <v>4</v>
      </c>
      <c r="F16" s="342">
        <v>5</v>
      </c>
      <c r="G16" s="342">
        <v>11</v>
      </c>
      <c r="H16" s="342">
        <v>9</v>
      </c>
      <c r="I16" s="342">
        <v>7</v>
      </c>
      <c r="J16" s="342">
        <v>0</v>
      </c>
      <c r="K16" s="342">
        <v>0</v>
      </c>
      <c r="L16" s="342">
        <v>0</v>
      </c>
      <c r="M16" s="341">
        <f>SUM(Table_Default__XLS_TAB_11_2[[#This Row],[AGE_LEVEL_LESS_20]:[AGE_LEVEL_NOT_STATED]])</f>
        <v>40</v>
      </c>
      <c r="N16" s="159" t="s">
        <v>122</v>
      </c>
    </row>
    <row r="17" spans="1:14" ht="18.75" customHeight="1" thickBot="1">
      <c r="A17" s="161" t="s">
        <v>121</v>
      </c>
      <c r="B17" s="342">
        <v>0</v>
      </c>
      <c r="C17" s="342">
        <v>0</v>
      </c>
      <c r="D17" s="342">
        <v>0</v>
      </c>
      <c r="E17" s="342">
        <v>3</v>
      </c>
      <c r="F17" s="342">
        <v>4</v>
      </c>
      <c r="G17" s="342">
        <v>6</v>
      </c>
      <c r="H17" s="342">
        <v>8</v>
      </c>
      <c r="I17" s="342">
        <v>3</v>
      </c>
      <c r="J17" s="342">
        <v>0</v>
      </c>
      <c r="K17" s="342">
        <v>0</v>
      </c>
      <c r="L17" s="342">
        <v>0</v>
      </c>
      <c r="M17" s="341">
        <f>SUM(Table_Default__XLS_TAB_11_2[[#This Row],[AGE_LEVEL_LESS_20]:[AGE_LEVEL_NOT_STATED]])</f>
        <v>24</v>
      </c>
      <c r="N17" s="159" t="s">
        <v>121</v>
      </c>
    </row>
    <row r="18" spans="1:14" ht="18.75" customHeight="1" thickBot="1">
      <c r="A18" s="161" t="s">
        <v>120</v>
      </c>
      <c r="B18" s="342">
        <v>0</v>
      </c>
      <c r="C18" s="342">
        <v>0</v>
      </c>
      <c r="D18" s="342">
        <v>1</v>
      </c>
      <c r="E18" s="342">
        <v>1</v>
      </c>
      <c r="F18" s="342">
        <v>2</v>
      </c>
      <c r="G18" s="342">
        <v>3</v>
      </c>
      <c r="H18" s="342">
        <v>0</v>
      </c>
      <c r="I18" s="342">
        <v>1</v>
      </c>
      <c r="J18" s="342">
        <v>0</v>
      </c>
      <c r="K18" s="342">
        <v>1</v>
      </c>
      <c r="L18" s="342">
        <v>0</v>
      </c>
      <c r="M18" s="341">
        <f>SUM(Table_Default__XLS_TAB_11_2[[#This Row],[AGE_LEVEL_LESS_20]:[AGE_LEVEL_NOT_STATED]])</f>
        <v>9</v>
      </c>
      <c r="N18" s="159" t="s">
        <v>120</v>
      </c>
    </row>
    <row r="19" spans="1:14" ht="18.75" customHeight="1" thickBot="1">
      <c r="A19" s="161" t="s">
        <v>119</v>
      </c>
      <c r="B19" s="342">
        <v>0</v>
      </c>
      <c r="C19" s="342">
        <v>0</v>
      </c>
      <c r="D19" s="342">
        <v>0</v>
      </c>
      <c r="E19" s="342">
        <v>0</v>
      </c>
      <c r="F19" s="342">
        <v>1</v>
      </c>
      <c r="G19" s="342">
        <v>1</v>
      </c>
      <c r="H19" s="342">
        <v>1</v>
      </c>
      <c r="I19" s="342">
        <v>1</v>
      </c>
      <c r="J19" s="342">
        <v>0</v>
      </c>
      <c r="K19" s="342">
        <v>0</v>
      </c>
      <c r="L19" s="342">
        <v>0</v>
      </c>
      <c r="M19" s="341">
        <f>SUM(Table_Default__XLS_TAB_11_2[[#This Row],[AGE_LEVEL_LESS_20]:[AGE_LEVEL_NOT_STATED]])</f>
        <v>4</v>
      </c>
      <c r="N19" s="159" t="s">
        <v>119</v>
      </c>
    </row>
    <row r="20" spans="1:14" ht="18.75" customHeight="1" thickBot="1">
      <c r="A20" s="161" t="s">
        <v>118</v>
      </c>
      <c r="B20" s="342">
        <v>0</v>
      </c>
      <c r="C20" s="342">
        <v>0</v>
      </c>
      <c r="D20" s="342">
        <v>0</v>
      </c>
      <c r="E20" s="342">
        <v>0</v>
      </c>
      <c r="F20" s="342">
        <v>0</v>
      </c>
      <c r="G20" s="342">
        <v>0</v>
      </c>
      <c r="H20" s="342">
        <v>1</v>
      </c>
      <c r="I20" s="342">
        <v>0</v>
      </c>
      <c r="J20" s="342">
        <v>0</v>
      </c>
      <c r="K20" s="342">
        <v>1</v>
      </c>
      <c r="L20" s="342">
        <v>0</v>
      </c>
      <c r="M20" s="341">
        <f>SUM(Table_Default__XLS_TAB_11_2[[#This Row],[AGE_LEVEL_LESS_20]:[AGE_LEVEL_NOT_STATED]])</f>
        <v>2</v>
      </c>
      <c r="N20" s="159" t="s">
        <v>118</v>
      </c>
    </row>
    <row r="21" spans="1:14" ht="18.75" customHeight="1" thickBot="1">
      <c r="A21" s="161" t="s">
        <v>117</v>
      </c>
      <c r="B21" s="342">
        <v>0</v>
      </c>
      <c r="C21" s="342">
        <v>0</v>
      </c>
      <c r="D21" s="342">
        <v>0</v>
      </c>
      <c r="E21" s="342">
        <v>0</v>
      </c>
      <c r="F21" s="342">
        <v>0</v>
      </c>
      <c r="G21" s="342">
        <v>0</v>
      </c>
      <c r="H21" s="342">
        <v>0</v>
      </c>
      <c r="I21" s="342">
        <v>0</v>
      </c>
      <c r="J21" s="342">
        <v>0</v>
      </c>
      <c r="K21" s="342">
        <v>0</v>
      </c>
      <c r="L21" s="342">
        <v>0</v>
      </c>
      <c r="M21" s="341">
        <f>SUM(Table_Default__XLS_TAB_11_2[[#This Row],[AGE_LEVEL_LESS_20]:[AGE_LEVEL_NOT_STATED]])</f>
        <v>0</v>
      </c>
      <c r="N21" s="159" t="s">
        <v>117</v>
      </c>
    </row>
    <row r="22" spans="1:14" ht="18.75" customHeight="1">
      <c r="A22" s="162" t="s">
        <v>15</v>
      </c>
      <c r="B22" s="343">
        <v>0</v>
      </c>
      <c r="C22" s="343">
        <v>0</v>
      </c>
      <c r="D22" s="343">
        <v>0</v>
      </c>
      <c r="E22" s="343">
        <v>0</v>
      </c>
      <c r="F22" s="343">
        <v>0</v>
      </c>
      <c r="G22" s="343">
        <v>0</v>
      </c>
      <c r="H22" s="343">
        <v>0</v>
      </c>
      <c r="I22" s="343">
        <v>0</v>
      </c>
      <c r="J22" s="343">
        <v>0</v>
      </c>
      <c r="K22" s="343">
        <v>0</v>
      </c>
      <c r="L22" s="343">
        <v>0</v>
      </c>
      <c r="M22" s="423">
        <f>SUM(Table_Default__XLS_TAB_11_2[[#This Row],[AGE_LEVEL_LESS_20]:[AGE_LEVEL_NOT_STATED]])</f>
        <v>0</v>
      </c>
      <c r="N22" s="163" t="s">
        <v>16</v>
      </c>
    </row>
    <row r="23" spans="1:14" ht="18.75" customHeight="1">
      <c r="A23" s="952" t="s">
        <v>17</v>
      </c>
      <c r="B23" s="922">
        <f>SUBTOTAL(109,Table_Default__XLS_TAB_11_2[AGE_LEVEL_LESS_20])</f>
        <v>116</v>
      </c>
      <c r="C23" s="922">
        <f>SUBTOTAL(109,Table_Default__XLS_TAB_11_2[AGE_LEVEL_20_24])</f>
        <v>428</v>
      </c>
      <c r="D23" s="922">
        <f>SUBTOTAL(109,Table_Default__XLS_TAB_11_2[AGE_LEVEL_25_29])</f>
        <v>459</v>
      </c>
      <c r="E23" s="922">
        <f>SUBTOTAL(109,Table_Default__XLS_TAB_11_2[AGE_LEVEL_30_34])</f>
        <v>266</v>
      </c>
      <c r="F23" s="922">
        <f>SUBTOTAL(109,Table_Default__XLS_TAB_11_2[AGE_LEVEL_35_39])</f>
        <v>140</v>
      </c>
      <c r="G23" s="922">
        <f>SUBTOTAL(109,Table_Default__XLS_TAB_11_2[AGE_LEVEL_40_44])</f>
        <v>71</v>
      </c>
      <c r="H23" s="922">
        <f>SUBTOTAL(109,Table_Default__XLS_TAB_11_2[AGE_LEVEL_45_49])</f>
        <v>39</v>
      </c>
      <c r="I23" s="922">
        <f>SUBTOTAL(109,Table_Default__XLS_TAB_11_2[AGE_LEVEL_50_54])</f>
        <v>18</v>
      </c>
      <c r="J23" s="922">
        <f>SUBTOTAL(109,Table_Default__XLS_TAB_11_2[AGE_LEVEL_55_59])</f>
        <v>3</v>
      </c>
      <c r="K23" s="922">
        <f>SUBTOTAL(109,Table_Default__XLS_TAB_11_2[AGE_LEVEL_UP_60])</f>
        <v>3</v>
      </c>
      <c r="L23" s="922">
        <f>SUBTOTAL(109,Table_Default__XLS_TAB_11_2[AGE_LEVEL_NOT_STATED])</f>
        <v>1</v>
      </c>
      <c r="M23" s="922">
        <f>SUBTOTAL(109,Table_Default__XLS_TAB_11_2[TOTAL])</f>
        <v>1544</v>
      </c>
      <c r="N23" s="953" t="s">
        <v>56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23"/>
  <sheetViews>
    <sheetView rightToLeft="1" view="pageBreakPreview" topLeftCell="A4" zoomScaleNormal="100" zoomScaleSheetLayoutView="100" workbookViewId="0">
      <selection activeCell="A7" sqref="A7:A8"/>
    </sheetView>
  </sheetViews>
  <sheetFormatPr defaultColWidth="9.140625" defaultRowHeight="12.75"/>
  <cols>
    <col min="1" max="1" width="17.42578125" style="1" customWidth="1"/>
    <col min="2" max="2" width="8.42578125" style="1" customWidth="1"/>
    <col min="3" max="3" width="8.85546875" style="1" customWidth="1"/>
    <col min="4" max="4" width="8.42578125" style="1" customWidth="1"/>
    <col min="5" max="5" width="9" style="1" customWidth="1"/>
    <col min="6" max="6" width="8.42578125" style="1" customWidth="1"/>
    <col min="7" max="7" width="7.5703125" style="1" customWidth="1"/>
    <col min="8" max="8" width="9" style="1" customWidth="1"/>
    <col min="9" max="9" width="7.42578125" style="1" customWidth="1"/>
    <col min="10" max="10" width="6.5703125" style="1" customWidth="1"/>
    <col min="11" max="11" width="7.42578125" style="1" customWidth="1"/>
    <col min="12" max="12" width="8.42578125" style="1" customWidth="1"/>
    <col min="13" max="13" width="9.42578125" style="1" customWidth="1"/>
    <col min="14" max="14" width="26.5703125" style="1" customWidth="1"/>
    <col min="15" max="16384" width="9.140625" style="1"/>
  </cols>
  <sheetData>
    <row r="1" spans="1:18" s="2" customFormat="1" ht="21.75" customHeight="1">
      <c r="A1" s="1009" t="s">
        <v>145</v>
      </c>
      <c r="B1" s="1009"/>
      <c r="C1" s="1009"/>
      <c r="D1" s="1009"/>
      <c r="E1" s="1009"/>
      <c r="F1" s="1009"/>
      <c r="G1" s="1009"/>
      <c r="H1" s="1009"/>
      <c r="I1" s="1009"/>
      <c r="J1" s="1009"/>
      <c r="K1" s="1009"/>
      <c r="L1" s="1009"/>
      <c r="M1" s="1009"/>
      <c r="N1" s="1009"/>
    </row>
    <row r="2" spans="1:18" s="2" customFormat="1" ht="15.75">
      <c r="A2" s="1036" t="s">
        <v>144</v>
      </c>
      <c r="B2" s="1036"/>
      <c r="C2" s="1036"/>
      <c r="D2" s="1036"/>
      <c r="E2" s="1036"/>
      <c r="F2" s="1036"/>
      <c r="G2" s="1036"/>
      <c r="H2" s="1036"/>
      <c r="I2" s="1036"/>
      <c r="J2" s="1036"/>
      <c r="K2" s="1036"/>
      <c r="L2" s="1036"/>
      <c r="M2" s="1036"/>
      <c r="N2" s="1036"/>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t="s">
        <v>1</v>
      </c>
      <c r="B4" s="1037"/>
      <c r="C4" s="1037"/>
      <c r="D4" s="1037"/>
      <c r="E4" s="1037"/>
      <c r="F4" s="1037"/>
      <c r="G4" s="1037"/>
      <c r="H4" s="1037"/>
      <c r="I4" s="1037"/>
      <c r="J4" s="1037"/>
      <c r="K4" s="1037"/>
      <c r="L4" s="1037"/>
      <c r="M4" s="1037"/>
      <c r="N4" s="1037"/>
    </row>
    <row r="5" spans="1:18" s="2" customFormat="1" ht="15.75">
      <c r="A5" s="361"/>
      <c r="B5" s="361"/>
      <c r="C5" s="361"/>
      <c r="D5" s="361"/>
      <c r="E5" s="361"/>
      <c r="F5" s="361"/>
      <c r="G5" s="361"/>
      <c r="H5" s="361"/>
      <c r="I5" s="361"/>
      <c r="J5" s="361"/>
      <c r="K5" s="361"/>
      <c r="L5" s="361"/>
      <c r="M5" s="361"/>
      <c r="N5" s="361"/>
    </row>
    <row r="6" spans="1:18" s="31" customFormat="1" ht="15.75">
      <c r="A6" s="373" t="s">
        <v>156</v>
      </c>
      <c r="B6" s="374"/>
      <c r="C6" s="374"/>
      <c r="D6" s="374"/>
      <c r="E6" s="374"/>
      <c r="F6" s="374"/>
      <c r="G6" s="374"/>
      <c r="H6" s="374"/>
      <c r="I6" s="374"/>
      <c r="J6" s="374"/>
      <c r="K6" s="374"/>
      <c r="L6" s="374"/>
      <c r="M6" s="374"/>
      <c r="N6" s="375" t="s">
        <v>155</v>
      </c>
    </row>
    <row r="7" spans="1:18" ht="26.25" customHeight="1" thickBot="1">
      <c r="A7" s="1099" t="s">
        <v>143</v>
      </c>
      <c r="B7" s="1087" t="s">
        <v>136</v>
      </c>
      <c r="C7" s="1087"/>
      <c r="D7" s="1087"/>
      <c r="E7" s="1087"/>
      <c r="F7" s="1087"/>
      <c r="G7" s="1087"/>
      <c r="H7" s="1087"/>
      <c r="I7" s="1087"/>
      <c r="J7" s="1087"/>
      <c r="K7" s="1087"/>
      <c r="L7" s="1087"/>
      <c r="M7" s="1087"/>
      <c r="N7" s="1106" t="s">
        <v>142</v>
      </c>
    </row>
    <row r="8" spans="1:18" ht="39.75" customHeight="1">
      <c r="A8" s="1108"/>
      <c r="B8" s="319">
        <v>-20</v>
      </c>
      <c r="C8" s="319" t="s">
        <v>128</v>
      </c>
      <c r="D8" s="319" t="s">
        <v>127</v>
      </c>
      <c r="E8" s="319" t="s">
        <v>126</v>
      </c>
      <c r="F8" s="319" t="s">
        <v>125</v>
      </c>
      <c r="G8" s="319" t="s">
        <v>124</v>
      </c>
      <c r="H8" s="319" t="s">
        <v>123</v>
      </c>
      <c r="I8" s="319" t="s">
        <v>122</v>
      </c>
      <c r="J8" s="319" t="s">
        <v>121</v>
      </c>
      <c r="K8" s="546" t="s">
        <v>133</v>
      </c>
      <c r="L8" s="328" t="s">
        <v>604</v>
      </c>
      <c r="M8" s="325" t="s">
        <v>605</v>
      </c>
      <c r="N8" s="1109"/>
    </row>
    <row r="9" spans="1:18" ht="18.75" customHeight="1" thickBot="1">
      <c r="A9" s="160" t="s">
        <v>437</v>
      </c>
      <c r="B9" s="340">
        <v>26</v>
      </c>
      <c r="C9" s="340">
        <v>11</v>
      </c>
      <c r="D9" s="340">
        <v>0</v>
      </c>
      <c r="E9" s="340">
        <v>0</v>
      </c>
      <c r="F9" s="340">
        <v>0</v>
      </c>
      <c r="G9" s="340">
        <v>0</v>
      </c>
      <c r="H9" s="340">
        <v>0</v>
      </c>
      <c r="I9" s="340">
        <v>0</v>
      </c>
      <c r="J9" s="340">
        <v>0</v>
      </c>
      <c r="K9" s="340">
        <v>0</v>
      </c>
      <c r="L9" s="340">
        <v>0</v>
      </c>
      <c r="M9" s="341">
        <f>SUM(Table_Default__XLS_TAB_11_3[[#This Row],[AGE_LEVEL_LESS_20]:[AGE_LEVEL_NOT_STATED]])</f>
        <v>37</v>
      </c>
      <c r="N9" s="158" t="s">
        <v>437</v>
      </c>
    </row>
    <row r="10" spans="1:18" ht="18.75" customHeight="1" thickBot="1">
      <c r="A10" s="161" t="s">
        <v>128</v>
      </c>
      <c r="B10" s="342">
        <v>194</v>
      </c>
      <c r="C10" s="342">
        <v>497</v>
      </c>
      <c r="D10" s="342">
        <v>73</v>
      </c>
      <c r="E10" s="342">
        <v>8</v>
      </c>
      <c r="F10" s="342">
        <v>5</v>
      </c>
      <c r="G10" s="342">
        <v>0</v>
      </c>
      <c r="H10" s="342">
        <v>0</v>
      </c>
      <c r="I10" s="342">
        <v>0</v>
      </c>
      <c r="J10" s="342">
        <v>0</v>
      </c>
      <c r="K10" s="342">
        <v>0</v>
      </c>
      <c r="L10" s="342">
        <v>0</v>
      </c>
      <c r="M10" s="341">
        <f>SUM(Table_Default__XLS_TAB_11_3[[#This Row],[AGE_LEVEL_LESS_20]:[AGE_LEVEL_NOT_STATED]])</f>
        <v>777</v>
      </c>
      <c r="N10" s="159" t="s">
        <v>128</v>
      </c>
    </row>
    <row r="11" spans="1:18" ht="18.75" customHeight="1" thickBot="1">
      <c r="A11" s="161" t="s">
        <v>127</v>
      </c>
      <c r="B11" s="342">
        <v>130</v>
      </c>
      <c r="C11" s="342">
        <v>622</v>
      </c>
      <c r="D11" s="342">
        <v>490</v>
      </c>
      <c r="E11" s="342">
        <v>82</v>
      </c>
      <c r="F11" s="342">
        <v>20</v>
      </c>
      <c r="G11" s="342">
        <v>5</v>
      </c>
      <c r="H11" s="342">
        <v>2</v>
      </c>
      <c r="I11" s="342">
        <v>0</v>
      </c>
      <c r="J11" s="342">
        <v>0</v>
      </c>
      <c r="K11" s="342">
        <v>0</v>
      </c>
      <c r="L11" s="342">
        <v>0</v>
      </c>
      <c r="M11" s="341">
        <f>SUM(Table_Default__XLS_TAB_11_3[[#This Row],[AGE_LEVEL_LESS_20]:[AGE_LEVEL_NOT_STATED]])</f>
        <v>1351</v>
      </c>
      <c r="N11" s="159" t="s">
        <v>127</v>
      </c>
    </row>
    <row r="12" spans="1:18" ht="18.75" customHeight="1" thickBot="1">
      <c r="A12" s="161" t="s">
        <v>126</v>
      </c>
      <c r="B12" s="342">
        <v>24</v>
      </c>
      <c r="C12" s="342">
        <v>155</v>
      </c>
      <c r="D12" s="342">
        <v>292</v>
      </c>
      <c r="E12" s="342">
        <v>166</v>
      </c>
      <c r="F12" s="342">
        <v>46</v>
      </c>
      <c r="G12" s="342">
        <v>18</v>
      </c>
      <c r="H12" s="342">
        <v>5</v>
      </c>
      <c r="I12" s="342">
        <v>3</v>
      </c>
      <c r="J12" s="342">
        <v>0</v>
      </c>
      <c r="K12" s="342">
        <v>0</v>
      </c>
      <c r="L12" s="342">
        <v>1</v>
      </c>
      <c r="M12" s="341">
        <f>SUM(Table_Default__XLS_TAB_11_3[[#This Row],[AGE_LEVEL_LESS_20]:[AGE_LEVEL_NOT_STATED]])</f>
        <v>710</v>
      </c>
      <c r="N12" s="159" t="s">
        <v>126</v>
      </c>
    </row>
    <row r="13" spans="1:18" ht="18.75" customHeight="1" thickBot="1">
      <c r="A13" s="161" t="s">
        <v>125</v>
      </c>
      <c r="B13" s="342">
        <v>1</v>
      </c>
      <c r="C13" s="342">
        <v>25</v>
      </c>
      <c r="D13" s="342">
        <v>72</v>
      </c>
      <c r="E13" s="342">
        <v>110</v>
      </c>
      <c r="F13" s="342">
        <v>67</v>
      </c>
      <c r="G13" s="342">
        <v>24</v>
      </c>
      <c r="H13" s="342">
        <v>6</v>
      </c>
      <c r="I13" s="342">
        <v>2</v>
      </c>
      <c r="J13" s="342">
        <v>0</v>
      </c>
      <c r="K13" s="342">
        <v>1</v>
      </c>
      <c r="L13" s="342">
        <v>0</v>
      </c>
      <c r="M13" s="341">
        <f>SUM(Table_Default__XLS_TAB_11_3[[#This Row],[AGE_LEVEL_LESS_20]:[AGE_LEVEL_NOT_STATED]])</f>
        <v>308</v>
      </c>
      <c r="N13" s="159" t="s">
        <v>125</v>
      </c>
    </row>
    <row r="14" spans="1:18" ht="18.75" customHeight="1" thickBot="1">
      <c r="A14" s="161" t="s">
        <v>124</v>
      </c>
      <c r="B14" s="342">
        <v>1</v>
      </c>
      <c r="C14" s="342">
        <v>4</v>
      </c>
      <c r="D14" s="342">
        <v>25</v>
      </c>
      <c r="E14" s="342">
        <v>52</v>
      </c>
      <c r="F14" s="342">
        <v>55</v>
      </c>
      <c r="G14" s="342">
        <v>29</v>
      </c>
      <c r="H14" s="342">
        <v>7</v>
      </c>
      <c r="I14" s="342">
        <v>1</v>
      </c>
      <c r="J14" s="342">
        <v>0</v>
      </c>
      <c r="K14" s="342">
        <v>0</v>
      </c>
      <c r="L14" s="342">
        <v>0</v>
      </c>
      <c r="M14" s="341">
        <f>SUM(Table_Default__XLS_TAB_11_3[[#This Row],[AGE_LEVEL_LESS_20]:[AGE_LEVEL_NOT_STATED]])</f>
        <v>174</v>
      </c>
      <c r="N14" s="159" t="s">
        <v>124</v>
      </c>
    </row>
    <row r="15" spans="1:18" ht="18.75" customHeight="1" thickBot="1">
      <c r="A15" s="161" t="s">
        <v>123</v>
      </c>
      <c r="B15" s="342">
        <v>1</v>
      </c>
      <c r="C15" s="342">
        <v>4</v>
      </c>
      <c r="D15" s="342">
        <v>14</v>
      </c>
      <c r="E15" s="342">
        <v>24</v>
      </c>
      <c r="F15" s="342">
        <v>25</v>
      </c>
      <c r="G15" s="342">
        <v>25</v>
      </c>
      <c r="H15" s="342">
        <v>12</v>
      </c>
      <c r="I15" s="342">
        <v>4</v>
      </c>
      <c r="J15" s="342">
        <v>3</v>
      </c>
      <c r="K15" s="342">
        <v>0</v>
      </c>
      <c r="L15" s="342">
        <v>0</v>
      </c>
      <c r="M15" s="341">
        <f>SUM(Table_Default__XLS_TAB_11_3[[#This Row],[AGE_LEVEL_LESS_20]:[AGE_LEVEL_NOT_STATED]])</f>
        <v>112</v>
      </c>
      <c r="N15" s="159" t="s">
        <v>123</v>
      </c>
    </row>
    <row r="16" spans="1:18" ht="18.75" customHeight="1" thickBot="1">
      <c r="A16" s="161" t="s">
        <v>122</v>
      </c>
      <c r="B16" s="342">
        <v>0</v>
      </c>
      <c r="C16" s="342">
        <v>2</v>
      </c>
      <c r="D16" s="342">
        <v>6</v>
      </c>
      <c r="E16" s="342">
        <v>15</v>
      </c>
      <c r="F16" s="342">
        <v>11</v>
      </c>
      <c r="G16" s="342">
        <v>19</v>
      </c>
      <c r="H16" s="342">
        <v>17</v>
      </c>
      <c r="I16" s="342">
        <v>8</v>
      </c>
      <c r="J16" s="342">
        <v>3</v>
      </c>
      <c r="K16" s="342">
        <v>0</v>
      </c>
      <c r="L16" s="342">
        <v>0</v>
      </c>
      <c r="M16" s="341">
        <f>SUM(Table_Default__XLS_TAB_11_3[[#This Row],[AGE_LEVEL_LESS_20]:[AGE_LEVEL_NOT_STATED]])</f>
        <v>81</v>
      </c>
      <c r="N16" s="159" t="s">
        <v>122</v>
      </c>
    </row>
    <row r="17" spans="1:14" ht="18.75" customHeight="1" thickBot="1">
      <c r="A17" s="161" t="s">
        <v>121</v>
      </c>
      <c r="B17" s="342">
        <v>0</v>
      </c>
      <c r="C17" s="342">
        <v>1</v>
      </c>
      <c r="D17" s="342">
        <v>0</v>
      </c>
      <c r="E17" s="342">
        <v>7</v>
      </c>
      <c r="F17" s="342">
        <v>6</v>
      </c>
      <c r="G17" s="342">
        <v>8</v>
      </c>
      <c r="H17" s="342">
        <v>10</v>
      </c>
      <c r="I17" s="342">
        <v>5</v>
      </c>
      <c r="J17" s="342">
        <v>1</v>
      </c>
      <c r="K17" s="342">
        <v>0</v>
      </c>
      <c r="L17" s="342">
        <v>0</v>
      </c>
      <c r="M17" s="341">
        <f>SUM(Table_Default__XLS_TAB_11_3[[#This Row],[AGE_LEVEL_LESS_20]:[AGE_LEVEL_NOT_STATED]])</f>
        <v>38</v>
      </c>
      <c r="N17" s="159" t="s">
        <v>121</v>
      </c>
    </row>
    <row r="18" spans="1:14" ht="18.75" customHeight="1" thickBot="1">
      <c r="A18" s="161" t="s">
        <v>120</v>
      </c>
      <c r="B18" s="342">
        <v>0</v>
      </c>
      <c r="C18" s="342">
        <v>0</v>
      </c>
      <c r="D18" s="342">
        <v>1</v>
      </c>
      <c r="E18" s="342">
        <v>1</v>
      </c>
      <c r="F18" s="342">
        <v>4</v>
      </c>
      <c r="G18" s="342">
        <v>5</v>
      </c>
      <c r="H18" s="342">
        <v>2</v>
      </c>
      <c r="I18" s="342">
        <v>2</v>
      </c>
      <c r="J18" s="342">
        <v>2</v>
      </c>
      <c r="K18" s="342">
        <v>2</v>
      </c>
      <c r="L18" s="342">
        <v>0</v>
      </c>
      <c r="M18" s="341">
        <f>SUM(Table_Default__XLS_TAB_11_3[[#This Row],[AGE_LEVEL_LESS_20]:[AGE_LEVEL_NOT_STATED]])</f>
        <v>19</v>
      </c>
      <c r="N18" s="159" t="s">
        <v>120</v>
      </c>
    </row>
    <row r="19" spans="1:14" ht="18.75" customHeight="1" thickBot="1">
      <c r="A19" s="161" t="s">
        <v>119</v>
      </c>
      <c r="B19" s="342">
        <v>0</v>
      </c>
      <c r="C19" s="342">
        <v>0</v>
      </c>
      <c r="D19" s="342">
        <v>0</v>
      </c>
      <c r="E19" s="342">
        <v>1</v>
      </c>
      <c r="F19" s="342">
        <v>2</v>
      </c>
      <c r="G19" s="342">
        <v>1</v>
      </c>
      <c r="H19" s="342">
        <v>1</v>
      </c>
      <c r="I19" s="342">
        <v>2</v>
      </c>
      <c r="J19" s="342">
        <v>1</v>
      </c>
      <c r="K19" s="342">
        <v>0</v>
      </c>
      <c r="L19" s="342">
        <v>0</v>
      </c>
      <c r="M19" s="341">
        <f>SUM(Table_Default__XLS_TAB_11_3[[#This Row],[AGE_LEVEL_LESS_20]:[AGE_LEVEL_NOT_STATED]])</f>
        <v>8</v>
      </c>
      <c r="N19" s="159" t="s">
        <v>119</v>
      </c>
    </row>
    <row r="20" spans="1:14" ht="18.75" customHeight="1" thickBot="1">
      <c r="A20" s="161" t="s">
        <v>118</v>
      </c>
      <c r="B20" s="342">
        <v>0</v>
      </c>
      <c r="C20" s="342">
        <v>0</v>
      </c>
      <c r="D20" s="342">
        <v>0</v>
      </c>
      <c r="E20" s="342">
        <v>0</v>
      </c>
      <c r="F20" s="342">
        <v>1</v>
      </c>
      <c r="G20" s="342">
        <v>0</v>
      </c>
      <c r="H20" s="342">
        <v>2</v>
      </c>
      <c r="I20" s="342">
        <v>1</v>
      </c>
      <c r="J20" s="342">
        <v>0</v>
      </c>
      <c r="K20" s="342">
        <v>1</v>
      </c>
      <c r="L20" s="342">
        <v>0</v>
      </c>
      <c r="M20" s="341">
        <f>SUM(Table_Default__XLS_TAB_11_3[[#This Row],[AGE_LEVEL_LESS_20]:[AGE_LEVEL_NOT_STATED]])</f>
        <v>5</v>
      </c>
      <c r="N20" s="159" t="s">
        <v>118</v>
      </c>
    </row>
    <row r="21" spans="1:14" ht="18.75" customHeight="1" thickBot="1">
      <c r="A21" s="161" t="s">
        <v>117</v>
      </c>
      <c r="B21" s="342">
        <v>0</v>
      </c>
      <c r="C21" s="342">
        <v>0</v>
      </c>
      <c r="D21" s="342">
        <v>0</v>
      </c>
      <c r="E21" s="342">
        <v>0</v>
      </c>
      <c r="F21" s="342">
        <v>0</v>
      </c>
      <c r="G21" s="342">
        <v>0</v>
      </c>
      <c r="H21" s="342">
        <v>1</v>
      </c>
      <c r="I21" s="342">
        <v>0</v>
      </c>
      <c r="J21" s="342">
        <v>0</v>
      </c>
      <c r="K21" s="342">
        <v>0</v>
      </c>
      <c r="L21" s="342">
        <v>0</v>
      </c>
      <c r="M21" s="341">
        <f>SUM(Table_Default__XLS_TAB_11_3[[#This Row],[AGE_LEVEL_LESS_20]:[AGE_LEVEL_NOT_STATED]])</f>
        <v>1</v>
      </c>
      <c r="N21" s="159" t="s">
        <v>117</v>
      </c>
    </row>
    <row r="22" spans="1:14" ht="18.75" customHeight="1">
      <c r="A22" s="162" t="s">
        <v>15</v>
      </c>
      <c r="B22" s="343">
        <v>0</v>
      </c>
      <c r="C22" s="343">
        <v>0</v>
      </c>
      <c r="D22" s="343">
        <v>0</v>
      </c>
      <c r="E22" s="343">
        <v>0</v>
      </c>
      <c r="F22" s="343">
        <v>0</v>
      </c>
      <c r="G22" s="343">
        <v>0</v>
      </c>
      <c r="H22" s="343">
        <v>0</v>
      </c>
      <c r="I22" s="343">
        <v>0</v>
      </c>
      <c r="J22" s="343">
        <v>0</v>
      </c>
      <c r="K22" s="343">
        <v>0</v>
      </c>
      <c r="L22" s="343">
        <v>0</v>
      </c>
      <c r="M22" s="423">
        <f>SUM(Table_Default__XLS_TAB_11_3[[#This Row],[AGE_LEVEL_LESS_20]:[AGE_LEVEL_NOT_STATED]])</f>
        <v>0</v>
      </c>
      <c r="N22" s="163" t="s">
        <v>16</v>
      </c>
    </row>
    <row r="23" spans="1:14" ht="18.75" customHeight="1">
      <c r="A23" s="952" t="s">
        <v>17</v>
      </c>
      <c r="B23" s="922">
        <f>SUBTOTAL(109,Table_Default__XLS_TAB_11_3[AGE_LEVEL_LESS_20])</f>
        <v>377</v>
      </c>
      <c r="C23" s="922">
        <f>SUBTOTAL(109,Table_Default__XLS_TAB_11_3[AGE_LEVEL_20_24])</f>
        <v>1321</v>
      </c>
      <c r="D23" s="922">
        <f>SUBTOTAL(109,Table_Default__XLS_TAB_11_3[AGE_LEVEL_25_29])</f>
        <v>973</v>
      </c>
      <c r="E23" s="922">
        <f>SUBTOTAL(109,Table_Default__XLS_TAB_11_3[AGE_LEVEL_30_34])</f>
        <v>466</v>
      </c>
      <c r="F23" s="922">
        <f>SUBTOTAL(109,Table_Default__XLS_TAB_11_3[AGE_LEVEL_35_39])</f>
        <v>242</v>
      </c>
      <c r="G23" s="922">
        <f>SUBTOTAL(109,Table_Default__XLS_TAB_11_3[AGE_LEVEL_40_44])</f>
        <v>134</v>
      </c>
      <c r="H23" s="922">
        <f>SUBTOTAL(109,Table_Default__XLS_TAB_11_3[AGE_LEVEL_45_49])</f>
        <v>65</v>
      </c>
      <c r="I23" s="922">
        <f>SUBTOTAL(109,Table_Default__XLS_TAB_11_3[AGE_LEVEL_50_54])</f>
        <v>28</v>
      </c>
      <c r="J23" s="922">
        <f>SUBTOTAL(109,Table_Default__XLS_TAB_11_3[AGE_LEVEL_55_59])</f>
        <v>10</v>
      </c>
      <c r="K23" s="922">
        <f>SUBTOTAL(109,Table_Default__XLS_TAB_11_3[AGE_LEVEL_UP_60])</f>
        <v>4</v>
      </c>
      <c r="L23" s="922">
        <f>SUBTOTAL(109,Table_Default__XLS_TAB_11_3[AGE_LEVEL_NOT_STATED])</f>
        <v>1</v>
      </c>
      <c r="M23" s="922">
        <f>SUBTOTAL(109,Table_Default__XLS_TAB_11_3[TOTAL])</f>
        <v>3621</v>
      </c>
      <c r="N23" s="953" t="s">
        <v>56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24"/>
  <sheetViews>
    <sheetView rightToLeft="1" view="pageBreakPreview" zoomScaleNormal="100" zoomScaleSheetLayoutView="100" workbookViewId="0">
      <selection activeCell="M18" sqref="M18"/>
    </sheetView>
  </sheetViews>
  <sheetFormatPr defaultColWidth="9.140625" defaultRowHeight="12.75"/>
  <cols>
    <col min="1" max="1" width="25.42578125" style="2" customWidth="1"/>
    <col min="2" max="4" width="13.5703125" style="2" customWidth="1"/>
    <col min="5" max="5" width="11.140625" style="2" customWidth="1"/>
    <col min="6" max="7" width="13.42578125" style="2" customWidth="1"/>
    <col min="8" max="8" width="26.5703125" style="2" customWidth="1"/>
    <col min="9" max="16384" width="9.140625" style="2"/>
  </cols>
  <sheetData>
    <row r="1" spans="1:11" ht="21.75" customHeight="1">
      <c r="A1" s="1009" t="s">
        <v>152</v>
      </c>
      <c r="B1" s="1009"/>
      <c r="C1" s="1110"/>
      <c r="D1" s="1009"/>
      <c r="E1" s="1009"/>
      <c r="F1" s="1009"/>
      <c r="G1" s="1009"/>
      <c r="H1" s="1009"/>
    </row>
    <row r="2" spans="1:11" ht="15.75">
      <c r="A2" s="1036" t="s">
        <v>151</v>
      </c>
      <c r="B2" s="1036"/>
      <c r="C2" s="1036"/>
      <c r="D2" s="1036"/>
      <c r="E2" s="1036"/>
      <c r="F2" s="1036"/>
      <c r="G2" s="1036"/>
      <c r="H2" s="1036"/>
    </row>
    <row r="3" spans="1:11" ht="18" customHeight="1">
      <c r="A3" s="1037">
        <v>2019</v>
      </c>
      <c r="B3" s="1037"/>
      <c r="C3" s="1037"/>
      <c r="D3" s="1037"/>
      <c r="E3" s="1037"/>
      <c r="F3" s="1037"/>
      <c r="G3" s="1037"/>
      <c r="H3" s="1037"/>
      <c r="I3" s="57"/>
      <c r="J3" s="57"/>
      <c r="K3" s="57"/>
    </row>
    <row r="4" spans="1:11" ht="15.75">
      <c r="A4" s="1037" t="s">
        <v>53</v>
      </c>
      <c r="B4" s="1037"/>
      <c r="C4" s="1037"/>
      <c r="D4" s="1037"/>
      <c r="E4" s="1037"/>
      <c r="F4" s="1037"/>
      <c r="G4" s="1037"/>
      <c r="H4" s="1037"/>
    </row>
    <row r="5" spans="1:11" ht="15.75">
      <c r="A5" s="361"/>
      <c r="B5" s="361"/>
      <c r="C5" s="361"/>
      <c r="D5" s="361"/>
      <c r="E5" s="361"/>
      <c r="F5" s="361"/>
      <c r="G5" s="361"/>
      <c r="H5" s="361"/>
    </row>
    <row r="6" spans="1:11" s="31" customFormat="1" ht="15.75">
      <c r="A6" s="373" t="s">
        <v>161</v>
      </c>
      <c r="B6" s="374"/>
      <c r="C6" s="374"/>
      <c r="D6" s="374"/>
      <c r="E6" s="374"/>
      <c r="F6" s="374"/>
      <c r="G6" s="374"/>
      <c r="H6" s="375" t="s">
        <v>160</v>
      </c>
    </row>
    <row r="7" spans="1:11" ht="26.25" customHeight="1" thickBot="1">
      <c r="A7" s="1099" t="s">
        <v>143</v>
      </c>
      <c r="B7" s="1087" t="s">
        <v>148</v>
      </c>
      <c r="C7" s="1087"/>
      <c r="D7" s="1087"/>
      <c r="E7" s="1087"/>
      <c r="F7" s="1087"/>
      <c r="G7" s="1087"/>
      <c r="H7" s="1101" t="s">
        <v>142</v>
      </c>
    </row>
    <row r="8" spans="1:11" ht="40.5" customHeight="1">
      <c r="A8" s="1100"/>
      <c r="B8" s="324" t="s">
        <v>606</v>
      </c>
      <c r="C8" s="324">
        <v>1</v>
      </c>
      <c r="D8" s="324">
        <v>2</v>
      </c>
      <c r="E8" s="324">
        <v>3</v>
      </c>
      <c r="F8" s="327" t="s">
        <v>604</v>
      </c>
      <c r="G8" s="512" t="s">
        <v>605</v>
      </c>
      <c r="H8" s="1102"/>
    </row>
    <row r="9" spans="1:11" ht="17.25" customHeight="1" thickBot="1">
      <c r="A9" s="170" t="s">
        <v>437</v>
      </c>
      <c r="B9" s="344">
        <v>29</v>
      </c>
      <c r="C9" s="344">
        <v>0</v>
      </c>
      <c r="D9" s="344">
        <v>0</v>
      </c>
      <c r="E9" s="344">
        <v>0</v>
      </c>
      <c r="F9" s="344">
        <v>0</v>
      </c>
      <c r="G9" s="478">
        <v>29</v>
      </c>
      <c r="H9" s="171" t="s">
        <v>437</v>
      </c>
    </row>
    <row r="10" spans="1:11" ht="17.25" customHeight="1" thickBot="1">
      <c r="A10" s="156" t="s">
        <v>128</v>
      </c>
      <c r="B10" s="342">
        <v>573</v>
      </c>
      <c r="C10" s="342">
        <v>1</v>
      </c>
      <c r="D10" s="342">
        <v>0</v>
      </c>
      <c r="E10" s="342">
        <v>0</v>
      </c>
      <c r="F10" s="342">
        <v>0</v>
      </c>
      <c r="G10" s="478">
        <v>574</v>
      </c>
      <c r="H10" s="157" t="s">
        <v>128</v>
      </c>
    </row>
    <row r="11" spans="1:11" ht="17.25" customHeight="1" thickBot="1">
      <c r="A11" s="156" t="s">
        <v>127</v>
      </c>
      <c r="B11" s="342">
        <v>799</v>
      </c>
      <c r="C11" s="342">
        <v>11</v>
      </c>
      <c r="D11" s="342">
        <v>0</v>
      </c>
      <c r="E11" s="342">
        <v>0</v>
      </c>
      <c r="F11" s="342">
        <v>0</v>
      </c>
      <c r="G11" s="478">
        <v>810</v>
      </c>
      <c r="H11" s="157" t="s">
        <v>127</v>
      </c>
    </row>
    <row r="12" spans="1:11" ht="17.25" customHeight="1" thickBot="1">
      <c r="A12" s="156" t="s">
        <v>126</v>
      </c>
      <c r="B12" s="342">
        <v>305</v>
      </c>
      <c r="C12" s="342">
        <v>24</v>
      </c>
      <c r="D12" s="342">
        <v>1</v>
      </c>
      <c r="E12" s="342">
        <v>0</v>
      </c>
      <c r="F12" s="342">
        <v>0</v>
      </c>
      <c r="G12" s="478">
        <v>330</v>
      </c>
      <c r="H12" s="157" t="s">
        <v>126</v>
      </c>
    </row>
    <row r="13" spans="1:11" ht="17.25" customHeight="1" thickBot="1">
      <c r="A13" s="156" t="s">
        <v>125</v>
      </c>
      <c r="B13" s="342">
        <v>84</v>
      </c>
      <c r="C13" s="342">
        <v>33</v>
      </c>
      <c r="D13" s="342">
        <v>1</v>
      </c>
      <c r="E13" s="342">
        <v>0</v>
      </c>
      <c r="F13" s="342">
        <v>0</v>
      </c>
      <c r="G13" s="478">
        <v>118</v>
      </c>
      <c r="H13" s="157" t="s">
        <v>125</v>
      </c>
    </row>
    <row r="14" spans="1:11" ht="17.25" customHeight="1" thickBot="1">
      <c r="A14" s="156" t="s">
        <v>124</v>
      </c>
      <c r="B14" s="342">
        <v>59</v>
      </c>
      <c r="C14" s="342">
        <v>27</v>
      </c>
      <c r="D14" s="342">
        <v>0</v>
      </c>
      <c r="E14" s="342">
        <v>0</v>
      </c>
      <c r="F14" s="342">
        <v>0</v>
      </c>
      <c r="G14" s="478">
        <v>86</v>
      </c>
      <c r="H14" s="157" t="s">
        <v>124</v>
      </c>
    </row>
    <row r="15" spans="1:11" ht="17.25" customHeight="1" thickBot="1">
      <c r="A15" s="156" t="s">
        <v>123</v>
      </c>
      <c r="B15" s="342">
        <v>38</v>
      </c>
      <c r="C15" s="342">
        <v>16</v>
      </c>
      <c r="D15" s="342">
        <v>3</v>
      </c>
      <c r="E15" s="342">
        <v>0</v>
      </c>
      <c r="F15" s="342">
        <v>0</v>
      </c>
      <c r="G15" s="478">
        <v>57</v>
      </c>
      <c r="H15" s="157" t="s">
        <v>123</v>
      </c>
    </row>
    <row r="16" spans="1:11" ht="17.25" customHeight="1" thickBot="1">
      <c r="A16" s="156" t="s">
        <v>122</v>
      </c>
      <c r="B16" s="342">
        <v>20</v>
      </c>
      <c r="C16" s="342">
        <v>20</v>
      </c>
      <c r="D16" s="342">
        <v>0</v>
      </c>
      <c r="E16" s="342">
        <v>1</v>
      </c>
      <c r="F16" s="342">
        <v>0</v>
      </c>
      <c r="G16" s="478">
        <v>41</v>
      </c>
      <c r="H16" s="157" t="s">
        <v>122</v>
      </c>
    </row>
    <row r="17" spans="1:8" ht="17.25" customHeight="1" thickBot="1">
      <c r="A17" s="156" t="s">
        <v>121</v>
      </c>
      <c r="B17" s="342">
        <v>7</v>
      </c>
      <c r="C17" s="342">
        <v>7</v>
      </c>
      <c r="D17" s="342">
        <v>0</v>
      </c>
      <c r="E17" s="342">
        <v>0</v>
      </c>
      <c r="F17" s="342">
        <v>0</v>
      </c>
      <c r="G17" s="478">
        <v>14</v>
      </c>
      <c r="H17" s="157" t="s">
        <v>121</v>
      </c>
    </row>
    <row r="18" spans="1:8" ht="17.25" customHeight="1" thickBot="1">
      <c r="A18" s="156" t="s">
        <v>120</v>
      </c>
      <c r="B18" s="342">
        <v>5</v>
      </c>
      <c r="C18" s="342">
        <v>5</v>
      </c>
      <c r="D18" s="342">
        <v>0</v>
      </c>
      <c r="E18" s="342">
        <v>0</v>
      </c>
      <c r="F18" s="342">
        <v>0</v>
      </c>
      <c r="G18" s="478">
        <v>10</v>
      </c>
      <c r="H18" s="157" t="s">
        <v>120</v>
      </c>
    </row>
    <row r="19" spans="1:8" ht="17.25" customHeight="1" thickBot="1">
      <c r="A19" s="156" t="s">
        <v>119</v>
      </c>
      <c r="B19" s="342">
        <v>3</v>
      </c>
      <c r="C19" s="342">
        <v>1</v>
      </c>
      <c r="D19" s="342">
        <v>0</v>
      </c>
      <c r="E19" s="342">
        <v>0</v>
      </c>
      <c r="F19" s="342">
        <v>0</v>
      </c>
      <c r="G19" s="478">
        <v>4</v>
      </c>
      <c r="H19" s="157" t="s">
        <v>119</v>
      </c>
    </row>
    <row r="20" spans="1:8" ht="17.25" customHeight="1" thickBot="1">
      <c r="A20" s="156" t="s">
        <v>118</v>
      </c>
      <c r="B20" s="342">
        <v>2</v>
      </c>
      <c r="C20" s="342">
        <v>1</v>
      </c>
      <c r="D20" s="342">
        <v>0</v>
      </c>
      <c r="E20" s="342">
        <v>0</v>
      </c>
      <c r="F20" s="342">
        <v>0</v>
      </c>
      <c r="G20" s="478">
        <v>3</v>
      </c>
      <c r="H20" s="157" t="s">
        <v>118</v>
      </c>
    </row>
    <row r="21" spans="1:8" ht="17.25" customHeight="1" thickBot="1">
      <c r="A21" s="156" t="s">
        <v>117</v>
      </c>
      <c r="B21" s="342">
        <v>0</v>
      </c>
      <c r="C21" s="342">
        <v>1</v>
      </c>
      <c r="D21" s="342">
        <v>0</v>
      </c>
      <c r="E21" s="342">
        <v>0</v>
      </c>
      <c r="F21" s="342">
        <v>0</v>
      </c>
      <c r="G21" s="478">
        <v>1</v>
      </c>
      <c r="H21" s="157" t="s">
        <v>117</v>
      </c>
    </row>
    <row r="22" spans="1:8" ht="17.25" customHeight="1">
      <c r="A22" s="173" t="s">
        <v>15</v>
      </c>
      <c r="B22" s="343">
        <v>0</v>
      </c>
      <c r="C22" s="343">
        <v>0</v>
      </c>
      <c r="D22" s="343">
        <v>0</v>
      </c>
      <c r="E22" s="343">
        <v>0</v>
      </c>
      <c r="F22" s="343">
        <v>0</v>
      </c>
      <c r="G22" s="479">
        <v>0</v>
      </c>
      <c r="H22" s="174" t="s">
        <v>16</v>
      </c>
    </row>
    <row r="23" spans="1:8" ht="21.95" customHeight="1" thickBot="1">
      <c r="A23" s="610" t="s">
        <v>17</v>
      </c>
      <c r="B23" s="611">
        <f>SUBTOTAL(109,Table_Default__XLS_TAB_12_1[NO_WIFE_0])</f>
        <v>1924</v>
      </c>
      <c r="C23" s="611">
        <f>SUBTOTAL(109,Table_Default__XLS_TAB_12_1[NO_WIFE_1])</f>
        <v>147</v>
      </c>
      <c r="D23" s="611">
        <f>SUBTOTAL(109,Table_Default__XLS_TAB_12_1[NO_WIFE_2])</f>
        <v>5</v>
      </c>
      <c r="E23" s="611">
        <f>SUBTOTAL(109,Table_Default__XLS_TAB_12_1[NO_WIFE_3])</f>
        <v>1</v>
      </c>
      <c r="F23" s="612">
        <f>SUBTOTAL(109,Table_Default__XLS_TAB_12_1[NO_WIFE_NOT_STATED])</f>
        <v>0</v>
      </c>
      <c r="G23" s="611">
        <f>SUBTOTAL(109,Table_Default__XLS_TAB_12_1[TOTAL])</f>
        <v>2077</v>
      </c>
      <c r="H23" s="613" t="s">
        <v>56</v>
      </c>
    </row>
    <row r="24" spans="1:8" ht="19.5" customHeight="1">
      <c r="A24" s="486" t="s">
        <v>146</v>
      </c>
      <c r="B24" s="487">
        <f>B23/$G$23%</f>
        <v>92.633606162734722</v>
      </c>
      <c r="C24" s="487">
        <f>C23/$G$23%</f>
        <v>7.0775156475686085</v>
      </c>
      <c r="D24" s="487">
        <f>D23/$G$23%</f>
        <v>0.24073182474723159</v>
      </c>
      <c r="E24" s="487">
        <f>E23/$G$23%</f>
        <v>4.8146364949446317E-2</v>
      </c>
      <c r="F24" s="487">
        <f>F23/$G$23%</f>
        <v>0</v>
      </c>
      <c r="G24" s="487">
        <f>SUM(B24:F24)</f>
        <v>100</v>
      </c>
      <c r="H24" s="499" t="s">
        <v>20</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75"/>
  <sheetViews>
    <sheetView rightToLeft="1" view="pageBreakPreview" zoomScaleNormal="100" zoomScaleSheetLayoutView="100" workbookViewId="0">
      <selection activeCell="M18" sqref="M18"/>
    </sheetView>
  </sheetViews>
  <sheetFormatPr defaultColWidth="9.140625" defaultRowHeight="12.75"/>
  <cols>
    <col min="1" max="1" width="40.5703125" style="5" customWidth="1"/>
    <col min="2" max="2" width="8.5703125" style="635" customWidth="1"/>
    <col min="3" max="3" width="8.5703125" style="634" customWidth="1"/>
    <col min="4" max="4" width="42.5703125" style="5" customWidth="1"/>
    <col min="5" max="6" width="9.140625" style="5"/>
    <col min="7" max="7" width="9.140625" style="5" customWidth="1"/>
    <col min="8" max="16384" width="9.140625" style="5"/>
  </cols>
  <sheetData>
    <row r="1" spans="1:4" ht="26.25" customHeight="1">
      <c r="A1" s="982" t="s">
        <v>871</v>
      </c>
      <c r="B1" s="983"/>
      <c r="C1" s="983"/>
      <c r="D1" s="984"/>
    </row>
    <row r="2" spans="1:4" ht="4.5" customHeight="1">
      <c r="B2" s="666"/>
    </row>
    <row r="3" spans="1:4" ht="35.25" customHeight="1">
      <c r="A3" s="663" t="s">
        <v>870</v>
      </c>
      <c r="B3" s="665" t="s">
        <v>869</v>
      </c>
      <c r="C3" s="664" t="s">
        <v>868</v>
      </c>
      <c r="D3" s="663" t="s">
        <v>867</v>
      </c>
    </row>
    <row r="4" spans="1:4" s="637" customFormat="1" ht="21.75" customHeight="1">
      <c r="A4" s="662" t="s">
        <v>866</v>
      </c>
      <c r="B4" s="661"/>
      <c r="C4" s="660"/>
      <c r="D4" s="659" t="s">
        <v>761</v>
      </c>
    </row>
    <row r="5" spans="1:4" s="637" customFormat="1" ht="21.75" customHeight="1">
      <c r="A5" s="662" t="s">
        <v>865</v>
      </c>
      <c r="B5" s="661"/>
      <c r="C5" s="660"/>
      <c r="D5" s="659" t="s">
        <v>864</v>
      </c>
    </row>
    <row r="6" spans="1:4" s="637" customFormat="1" ht="21.75" customHeight="1">
      <c r="A6" s="662" t="s">
        <v>863</v>
      </c>
      <c r="B6" s="661"/>
      <c r="C6" s="660"/>
      <c r="D6" s="659" t="s">
        <v>862</v>
      </c>
    </row>
    <row r="7" spans="1:4" s="637" customFormat="1" ht="21.75" customHeight="1">
      <c r="A7" s="662" t="s">
        <v>861</v>
      </c>
      <c r="B7" s="661"/>
      <c r="C7" s="660"/>
      <c r="D7" s="659" t="s">
        <v>860</v>
      </c>
    </row>
    <row r="8" spans="1:4" s="637" customFormat="1" ht="21.75" customHeight="1">
      <c r="A8" s="662" t="s">
        <v>859</v>
      </c>
      <c r="B8" s="661"/>
      <c r="C8" s="660"/>
      <c r="D8" s="659" t="s">
        <v>858</v>
      </c>
    </row>
    <row r="9" spans="1:4" s="637" customFormat="1" ht="24.75">
      <c r="A9" s="658" t="s">
        <v>857</v>
      </c>
      <c r="B9" s="657"/>
      <c r="C9" s="652"/>
      <c r="D9" s="651" t="s">
        <v>856</v>
      </c>
    </row>
    <row r="10" spans="1:4" s="637" customFormat="1" ht="25.5">
      <c r="A10" s="645" t="s">
        <v>1033</v>
      </c>
      <c r="B10" s="644">
        <v>1</v>
      </c>
      <c r="C10" s="643">
        <v>1</v>
      </c>
      <c r="D10" s="656" t="s">
        <v>1034</v>
      </c>
    </row>
    <row r="11" spans="1:4" s="637" customFormat="1" ht="25.5">
      <c r="A11" s="645" t="s">
        <v>1209</v>
      </c>
      <c r="B11" s="644">
        <v>2</v>
      </c>
      <c r="C11" s="643">
        <v>3</v>
      </c>
      <c r="D11" s="642" t="s">
        <v>1210</v>
      </c>
    </row>
    <row r="12" spans="1:4" s="637" customFormat="1" ht="21" customHeight="1">
      <c r="A12" s="655" t="s">
        <v>1035</v>
      </c>
      <c r="B12" s="644" t="s">
        <v>428</v>
      </c>
      <c r="C12" s="643">
        <v>4</v>
      </c>
      <c r="D12" s="642" t="s">
        <v>1036</v>
      </c>
    </row>
    <row r="13" spans="1:4" s="637" customFormat="1" ht="25.5">
      <c r="A13" s="645" t="s">
        <v>1037</v>
      </c>
      <c r="B13" s="644" t="s">
        <v>25</v>
      </c>
      <c r="C13" s="643">
        <v>6</v>
      </c>
      <c r="D13" s="642" t="s">
        <v>1038</v>
      </c>
    </row>
    <row r="14" spans="1:4" s="637" customFormat="1" ht="38.25">
      <c r="A14" s="645" t="s">
        <v>1039</v>
      </c>
      <c r="B14" s="644" t="s">
        <v>429</v>
      </c>
      <c r="C14" s="643">
        <v>8</v>
      </c>
      <c r="D14" s="642" t="s">
        <v>1040</v>
      </c>
    </row>
    <row r="15" spans="1:4" s="637" customFormat="1" ht="25.5">
      <c r="A15" s="645" t="s">
        <v>1041</v>
      </c>
      <c r="B15" s="644" t="s">
        <v>855</v>
      </c>
      <c r="C15" s="643">
        <v>10</v>
      </c>
      <c r="D15" s="642" t="s">
        <v>1042</v>
      </c>
    </row>
    <row r="16" spans="1:4" s="637" customFormat="1" ht="25.5">
      <c r="A16" s="645" t="s">
        <v>1043</v>
      </c>
      <c r="B16" s="644" t="s">
        <v>854</v>
      </c>
      <c r="C16" s="643">
        <v>12</v>
      </c>
      <c r="D16" s="642" t="s">
        <v>1044</v>
      </c>
    </row>
    <row r="17" spans="1:4" s="637" customFormat="1" ht="25.5">
      <c r="A17" s="645" t="s">
        <v>1045</v>
      </c>
      <c r="B17" s="644" t="s">
        <v>853</v>
      </c>
      <c r="C17" s="643">
        <v>13</v>
      </c>
      <c r="D17" s="642" t="s">
        <v>1046</v>
      </c>
    </row>
    <row r="18" spans="1:4" s="637" customFormat="1" ht="25.5">
      <c r="A18" s="645" t="s">
        <v>1047</v>
      </c>
      <c r="B18" s="644" t="s">
        <v>852</v>
      </c>
      <c r="C18" s="643">
        <v>15</v>
      </c>
      <c r="D18" s="642" t="s">
        <v>1048</v>
      </c>
    </row>
    <row r="19" spans="1:4" s="637" customFormat="1" ht="25.5">
      <c r="A19" s="645" t="s">
        <v>1049</v>
      </c>
      <c r="B19" s="644" t="s">
        <v>851</v>
      </c>
      <c r="C19" s="643">
        <v>16</v>
      </c>
      <c r="D19" s="642" t="s">
        <v>1050</v>
      </c>
    </row>
    <row r="20" spans="1:4" s="637" customFormat="1" ht="25.5">
      <c r="A20" s="645" t="s">
        <v>1051</v>
      </c>
      <c r="B20" s="644" t="s">
        <v>850</v>
      </c>
      <c r="C20" s="643">
        <v>17</v>
      </c>
      <c r="D20" s="642" t="s">
        <v>1052</v>
      </c>
    </row>
    <row r="21" spans="1:4" s="637" customFormat="1" ht="25.5">
      <c r="A21" s="645" t="s">
        <v>1053</v>
      </c>
      <c r="B21" s="644" t="s">
        <v>849</v>
      </c>
      <c r="C21" s="643">
        <v>18</v>
      </c>
      <c r="D21" s="642" t="s">
        <v>1054</v>
      </c>
    </row>
    <row r="22" spans="1:4" s="637" customFormat="1" ht="25.5">
      <c r="A22" s="645" t="s">
        <v>1055</v>
      </c>
      <c r="B22" s="644" t="s">
        <v>848</v>
      </c>
      <c r="C22" s="643">
        <v>19</v>
      </c>
      <c r="D22" s="642" t="s">
        <v>1056</v>
      </c>
    </row>
    <row r="23" spans="1:4" s="637" customFormat="1" ht="25.5">
      <c r="A23" s="645" t="s">
        <v>1057</v>
      </c>
      <c r="B23" s="644" t="s">
        <v>847</v>
      </c>
      <c r="C23" s="643">
        <v>20</v>
      </c>
      <c r="D23" s="642" t="s">
        <v>1058</v>
      </c>
    </row>
    <row r="24" spans="1:4" s="637" customFormat="1" ht="25.5">
      <c r="A24" s="645" t="s">
        <v>1059</v>
      </c>
      <c r="B24" s="644" t="s">
        <v>846</v>
      </c>
      <c r="C24" s="643">
        <v>21</v>
      </c>
      <c r="D24" s="642" t="s">
        <v>1060</v>
      </c>
    </row>
    <row r="25" spans="1:4" s="637" customFormat="1" ht="25.5">
      <c r="A25" s="645" t="s">
        <v>1061</v>
      </c>
      <c r="B25" s="644" t="s">
        <v>845</v>
      </c>
      <c r="C25" s="643">
        <v>22</v>
      </c>
      <c r="D25" s="642" t="s">
        <v>1062</v>
      </c>
    </row>
    <row r="26" spans="1:4" s="637" customFormat="1" ht="25.5">
      <c r="A26" s="645" t="s">
        <v>1063</v>
      </c>
      <c r="B26" s="644" t="s">
        <v>844</v>
      </c>
      <c r="C26" s="643">
        <v>23</v>
      </c>
      <c r="D26" s="642" t="s">
        <v>1064</v>
      </c>
    </row>
    <row r="27" spans="1:4" s="637" customFormat="1" ht="25.5">
      <c r="A27" s="645" t="s">
        <v>1065</v>
      </c>
      <c r="B27" s="644" t="s">
        <v>843</v>
      </c>
      <c r="C27" s="643">
        <v>24</v>
      </c>
      <c r="D27" s="642" t="s">
        <v>1066</v>
      </c>
    </row>
    <row r="28" spans="1:4" s="637" customFormat="1" ht="25.5">
      <c r="A28" s="645" t="s">
        <v>1067</v>
      </c>
      <c r="B28" s="644" t="s">
        <v>842</v>
      </c>
      <c r="C28" s="643">
        <v>25</v>
      </c>
      <c r="D28" s="642" t="s">
        <v>1068</v>
      </c>
    </row>
    <row r="29" spans="1:4" s="637" customFormat="1" ht="25.5">
      <c r="A29" s="645" t="s">
        <v>1069</v>
      </c>
      <c r="B29" s="644" t="s">
        <v>841</v>
      </c>
      <c r="C29" s="643">
        <v>26</v>
      </c>
      <c r="D29" s="642" t="s">
        <v>1070</v>
      </c>
    </row>
    <row r="30" spans="1:4" s="637" customFormat="1" ht="25.5">
      <c r="A30" s="641" t="s">
        <v>1071</v>
      </c>
      <c r="B30" s="640" t="s">
        <v>840</v>
      </c>
      <c r="C30" s="639">
        <v>27</v>
      </c>
      <c r="D30" s="638" t="s">
        <v>1072</v>
      </c>
    </row>
    <row r="31" spans="1:4" s="637" customFormat="1" ht="25.5">
      <c r="A31" s="645" t="s">
        <v>1073</v>
      </c>
      <c r="B31" s="644" t="s">
        <v>839</v>
      </c>
      <c r="C31" s="643">
        <v>28</v>
      </c>
      <c r="D31" s="642" t="s">
        <v>1074</v>
      </c>
    </row>
    <row r="32" spans="1:4" s="637" customFormat="1" ht="25.5">
      <c r="A32" s="645" t="s">
        <v>1075</v>
      </c>
      <c r="B32" s="644" t="s">
        <v>838</v>
      </c>
      <c r="C32" s="643">
        <v>29</v>
      </c>
      <c r="D32" s="642" t="s">
        <v>1076</v>
      </c>
    </row>
    <row r="33" spans="1:4" s="637" customFormat="1" ht="27.75" customHeight="1">
      <c r="A33" s="645" t="s">
        <v>1077</v>
      </c>
      <c r="B33" s="644" t="s">
        <v>837</v>
      </c>
      <c r="C33" s="643">
        <v>30</v>
      </c>
      <c r="D33" s="642" t="s">
        <v>1078</v>
      </c>
    </row>
    <row r="34" spans="1:4" s="637" customFormat="1" ht="25.5">
      <c r="A34" s="645" t="s">
        <v>1079</v>
      </c>
      <c r="B34" s="644" t="s">
        <v>836</v>
      </c>
      <c r="C34" s="643">
        <v>31</v>
      </c>
      <c r="D34" s="642" t="s">
        <v>1080</v>
      </c>
    </row>
    <row r="35" spans="1:4" s="637" customFormat="1" ht="25.5">
      <c r="A35" s="645" t="s">
        <v>1081</v>
      </c>
      <c r="B35" s="644" t="s">
        <v>835</v>
      </c>
      <c r="C35" s="643">
        <v>32</v>
      </c>
      <c r="D35" s="642" t="s">
        <v>1082</v>
      </c>
    </row>
    <row r="36" spans="1:4" s="637" customFormat="1" ht="25.5">
      <c r="A36" s="645" t="s">
        <v>1083</v>
      </c>
      <c r="B36" s="644" t="s">
        <v>834</v>
      </c>
      <c r="C36" s="643">
        <v>33</v>
      </c>
      <c r="D36" s="642" t="s">
        <v>1084</v>
      </c>
    </row>
    <row r="37" spans="1:4" s="637" customFormat="1" ht="25.5">
      <c r="A37" s="645" t="s">
        <v>1085</v>
      </c>
      <c r="B37" s="644" t="s">
        <v>833</v>
      </c>
      <c r="C37" s="643">
        <v>34</v>
      </c>
      <c r="D37" s="642" t="s">
        <v>1086</v>
      </c>
    </row>
    <row r="38" spans="1:4" s="637" customFormat="1" ht="25.5">
      <c r="A38" s="645" t="s">
        <v>1087</v>
      </c>
      <c r="B38" s="644" t="s">
        <v>832</v>
      </c>
      <c r="C38" s="643">
        <v>36</v>
      </c>
      <c r="D38" s="642" t="s">
        <v>1088</v>
      </c>
    </row>
    <row r="39" spans="1:4" s="637" customFormat="1" ht="25.5">
      <c r="A39" s="645" t="s">
        <v>1089</v>
      </c>
      <c r="B39" s="644" t="s">
        <v>831</v>
      </c>
      <c r="C39" s="643">
        <v>37</v>
      </c>
      <c r="D39" s="642" t="s">
        <v>1090</v>
      </c>
    </row>
    <row r="40" spans="1:4" s="637" customFormat="1" ht="25.5">
      <c r="A40" s="645" t="s">
        <v>1091</v>
      </c>
      <c r="B40" s="644" t="s">
        <v>830</v>
      </c>
      <c r="C40" s="643">
        <v>38</v>
      </c>
      <c r="D40" s="642" t="s">
        <v>1092</v>
      </c>
    </row>
    <row r="41" spans="1:4" s="637" customFormat="1" ht="38.25">
      <c r="A41" s="645" t="s">
        <v>1093</v>
      </c>
      <c r="B41" s="644" t="s">
        <v>829</v>
      </c>
      <c r="C41" s="643">
        <v>40</v>
      </c>
      <c r="D41" s="642" t="s">
        <v>1094</v>
      </c>
    </row>
    <row r="42" spans="1:4" s="637" customFormat="1" ht="38.25">
      <c r="A42" s="645" t="s">
        <v>1095</v>
      </c>
      <c r="B42" s="644" t="s">
        <v>828</v>
      </c>
      <c r="C42" s="643">
        <v>41</v>
      </c>
      <c r="D42" s="642" t="s">
        <v>1096</v>
      </c>
    </row>
    <row r="43" spans="1:4" s="637" customFormat="1" ht="38.25">
      <c r="A43" s="645" t="s">
        <v>1097</v>
      </c>
      <c r="B43" s="644" t="s">
        <v>827</v>
      </c>
      <c r="C43" s="643">
        <v>42</v>
      </c>
      <c r="D43" s="642" t="s">
        <v>1098</v>
      </c>
    </row>
    <row r="44" spans="1:4" s="637" customFormat="1" ht="25.5">
      <c r="A44" s="645" t="s">
        <v>1099</v>
      </c>
      <c r="B44" s="644" t="s">
        <v>826</v>
      </c>
      <c r="C44" s="643">
        <v>43</v>
      </c>
      <c r="D44" s="642" t="s">
        <v>1100</v>
      </c>
    </row>
    <row r="45" spans="1:4" s="637" customFormat="1" ht="25.5">
      <c r="A45" s="645" t="s">
        <v>1101</v>
      </c>
      <c r="B45" s="644" t="s">
        <v>825</v>
      </c>
      <c r="C45" s="643">
        <v>44</v>
      </c>
      <c r="D45" s="642" t="s">
        <v>1102</v>
      </c>
    </row>
    <row r="46" spans="1:4" s="637" customFormat="1" ht="24.75">
      <c r="A46" s="654" t="s">
        <v>824</v>
      </c>
      <c r="B46" s="653"/>
      <c r="C46" s="652"/>
      <c r="D46" s="651" t="s">
        <v>823</v>
      </c>
    </row>
    <row r="47" spans="1:4" s="637" customFormat="1" ht="38.25">
      <c r="A47" s="645" t="s">
        <v>1103</v>
      </c>
      <c r="B47" s="644" t="s">
        <v>822</v>
      </c>
      <c r="C47" s="643">
        <v>49</v>
      </c>
      <c r="D47" s="642" t="s">
        <v>1104</v>
      </c>
    </row>
    <row r="48" spans="1:4" s="637" customFormat="1" ht="25.5">
      <c r="A48" s="645" t="s">
        <v>1105</v>
      </c>
      <c r="B48" s="644" t="s">
        <v>821</v>
      </c>
      <c r="C48" s="643">
        <v>51</v>
      </c>
      <c r="D48" s="642" t="s">
        <v>1106</v>
      </c>
    </row>
    <row r="49" spans="1:4" s="637" customFormat="1" ht="25.5">
      <c r="A49" s="645" t="s">
        <v>1107</v>
      </c>
      <c r="B49" s="644" t="s">
        <v>820</v>
      </c>
      <c r="C49" s="643">
        <v>53</v>
      </c>
      <c r="D49" s="642" t="s">
        <v>1108</v>
      </c>
    </row>
    <row r="50" spans="1:4" s="637" customFormat="1" ht="25.5">
      <c r="A50" s="645" t="s">
        <v>1109</v>
      </c>
      <c r="B50" s="644" t="s">
        <v>819</v>
      </c>
      <c r="C50" s="643">
        <v>55</v>
      </c>
      <c r="D50" s="642" t="s">
        <v>1110</v>
      </c>
    </row>
    <row r="51" spans="1:4" s="637" customFormat="1" ht="25.5">
      <c r="A51" s="645" t="s">
        <v>1111</v>
      </c>
      <c r="B51" s="644" t="s">
        <v>818</v>
      </c>
      <c r="C51" s="643">
        <v>58</v>
      </c>
      <c r="D51" s="642" t="s">
        <v>1112</v>
      </c>
    </row>
    <row r="52" spans="1:4" s="637" customFormat="1" ht="25.5">
      <c r="A52" s="645" t="s">
        <v>1113</v>
      </c>
      <c r="B52" s="644" t="s">
        <v>817</v>
      </c>
      <c r="C52" s="643">
        <v>59</v>
      </c>
      <c r="D52" s="642" t="s">
        <v>1114</v>
      </c>
    </row>
    <row r="53" spans="1:4" s="637" customFormat="1" ht="25.5">
      <c r="A53" s="645" t="s">
        <v>1115</v>
      </c>
      <c r="B53" s="644" t="s">
        <v>816</v>
      </c>
      <c r="C53" s="643">
        <v>60</v>
      </c>
      <c r="D53" s="642" t="s">
        <v>1116</v>
      </c>
    </row>
    <row r="54" spans="1:4" s="637" customFormat="1" ht="25.5">
      <c r="A54" s="645" t="s">
        <v>1117</v>
      </c>
      <c r="B54" s="644" t="s">
        <v>815</v>
      </c>
      <c r="C54" s="643">
        <v>61</v>
      </c>
      <c r="D54" s="642" t="s">
        <v>1118</v>
      </c>
    </row>
    <row r="55" spans="1:4" s="637" customFormat="1" ht="25.5">
      <c r="A55" s="641" t="s">
        <v>1119</v>
      </c>
      <c r="B55" s="640" t="s">
        <v>814</v>
      </c>
      <c r="C55" s="639">
        <v>62</v>
      </c>
      <c r="D55" s="638" t="s">
        <v>1120</v>
      </c>
    </row>
    <row r="56" spans="1:4" s="637" customFormat="1" ht="25.5">
      <c r="A56" s="645" t="s">
        <v>1121</v>
      </c>
      <c r="B56" s="644" t="s">
        <v>813</v>
      </c>
      <c r="C56" s="643">
        <v>63</v>
      </c>
      <c r="D56" s="642" t="s">
        <v>1122</v>
      </c>
    </row>
    <row r="57" spans="1:4" s="637" customFormat="1" ht="25.5">
      <c r="A57" s="645" t="s">
        <v>1123</v>
      </c>
      <c r="B57" s="644" t="s">
        <v>812</v>
      </c>
      <c r="C57" s="643">
        <v>64</v>
      </c>
      <c r="D57" s="642" t="s">
        <v>1124</v>
      </c>
    </row>
    <row r="58" spans="1:4" s="637" customFormat="1" ht="25.5">
      <c r="A58" s="645" t="s">
        <v>1125</v>
      </c>
      <c r="B58" s="644" t="s">
        <v>811</v>
      </c>
      <c r="C58" s="643">
        <v>65</v>
      </c>
      <c r="D58" s="642" t="s">
        <v>1126</v>
      </c>
    </row>
    <row r="59" spans="1:4" s="637" customFormat="1" ht="25.5">
      <c r="A59" s="645" t="s">
        <v>1127</v>
      </c>
      <c r="B59" s="644" t="s">
        <v>810</v>
      </c>
      <c r="C59" s="643">
        <v>66</v>
      </c>
      <c r="D59" s="642" t="s">
        <v>1128</v>
      </c>
    </row>
    <row r="60" spans="1:4" s="637" customFormat="1" ht="25.5">
      <c r="A60" s="645" t="s">
        <v>1129</v>
      </c>
      <c r="B60" s="644" t="s">
        <v>809</v>
      </c>
      <c r="C60" s="643">
        <v>67</v>
      </c>
      <c r="D60" s="642" t="s">
        <v>1130</v>
      </c>
    </row>
    <row r="61" spans="1:4" s="637" customFormat="1" ht="38.25">
      <c r="A61" s="645" t="s">
        <v>1131</v>
      </c>
      <c r="B61" s="644" t="s">
        <v>808</v>
      </c>
      <c r="C61" s="643">
        <v>68</v>
      </c>
      <c r="D61" s="642" t="s">
        <v>1132</v>
      </c>
    </row>
    <row r="62" spans="1:4" s="637" customFormat="1" ht="25.5">
      <c r="A62" s="645" t="s">
        <v>1133</v>
      </c>
      <c r="B62" s="644" t="s">
        <v>807</v>
      </c>
      <c r="C62" s="643">
        <v>69</v>
      </c>
      <c r="D62" s="642" t="s">
        <v>1134</v>
      </c>
    </row>
    <row r="63" spans="1:4" s="637" customFormat="1" ht="25.5">
      <c r="A63" s="645" t="s">
        <v>1135</v>
      </c>
      <c r="B63" s="644" t="s">
        <v>806</v>
      </c>
      <c r="C63" s="643">
        <v>70</v>
      </c>
      <c r="D63" s="642" t="s">
        <v>1136</v>
      </c>
    </row>
    <row r="64" spans="1:4" s="637" customFormat="1" ht="25.5">
      <c r="A64" s="645" t="s">
        <v>1137</v>
      </c>
      <c r="B64" s="644" t="s">
        <v>805</v>
      </c>
      <c r="C64" s="643">
        <v>71</v>
      </c>
      <c r="D64" s="642" t="s">
        <v>1138</v>
      </c>
    </row>
    <row r="65" spans="1:4" s="637" customFormat="1" ht="25.5">
      <c r="A65" s="645" t="s">
        <v>1139</v>
      </c>
      <c r="B65" s="644" t="s">
        <v>804</v>
      </c>
      <c r="C65" s="643">
        <v>72</v>
      </c>
      <c r="D65" s="642" t="s">
        <v>1140</v>
      </c>
    </row>
    <row r="66" spans="1:4" s="637" customFormat="1" ht="25.5">
      <c r="A66" s="645" t="s">
        <v>1141</v>
      </c>
      <c r="B66" s="644" t="s">
        <v>803</v>
      </c>
      <c r="C66" s="643">
        <v>73</v>
      </c>
      <c r="D66" s="642" t="s">
        <v>1142</v>
      </c>
    </row>
    <row r="67" spans="1:4" s="637" customFormat="1" ht="25.5">
      <c r="A67" s="645" t="s">
        <v>1143</v>
      </c>
      <c r="B67" s="644" t="s">
        <v>802</v>
      </c>
      <c r="C67" s="643">
        <v>74</v>
      </c>
      <c r="D67" s="642" t="s">
        <v>1144</v>
      </c>
    </row>
    <row r="68" spans="1:4" s="637" customFormat="1" ht="25.5">
      <c r="A68" s="645" t="s">
        <v>1145</v>
      </c>
      <c r="B68" s="644" t="s">
        <v>801</v>
      </c>
      <c r="C68" s="643">
        <v>75</v>
      </c>
      <c r="D68" s="642" t="s">
        <v>1146</v>
      </c>
    </row>
    <row r="69" spans="1:4" s="637" customFormat="1" ht="25.5">
      <c r="A69" s="645" t="s">
        <v>1147</v>
      </c>
      <c r="B69" s="644" t="s">
        <v>800</v>
      </c>
      <c r="C69" s="643">
        <v>76</v>
      </c>
      <c r="D69" s="642" t="s">
        <v>1148</v>
      </c>
    </row>
    <row r="70" spans="1:4" s="637" customFormat="1" ht="25.5">
      <c r="A70" s="645" t="s">
        <v>1149</v>
      </c>
      <c r="B70" s="644" t="s">
        <v>799</v>
      </c>
      <c r="C70" s="643">
        <v>77</v>
      </c>
      <c r="D70" s="642" t="s">
        <v>1150</v>
      </c>
    </row>
    <row r="71" spans="1:4" s="637" customFormat="1" ht="25.5">
      <c r="A71" s="645" t="s">
        <v>1151</v>
      </c>
      <c r="B71" s="644" t="s">
        <v>798</v>
      </c>
      <c r="C71" s="643">
        <v>78</v>
      </c>
      <c r="D71" s="642" t="s">
        <v>1152</v>
      </c>
    </row>
    <row r="72" spans="1:4" s="637" customFormat="1" ht="25.5">
      <c r="A72" s="645" t="s">
        <v>1153</v>
      </c>
      <c r="B72" s="644" t="s">
        <v>797</v>
      </c>
      <c r="C72" s="643">
        <v>79</v>
      </c>
      <c r="D72" s="642" t="s">
        <v>1154</v>
      </c>
    </row>
    <row r="73" spans="1:4" s="637" customFormat="1" ht="25.5">
      <c r="A73" s="645" t="s">
        <v>1155</v>
      </c>
      <c r="B73" s="644" t="s">
        <v>796</v>
      </c>
      <c r="C73" s="643">
        <v>80</v>
      </c>
      <c r="D73" s="642" t="s">
        <v>1156</v>
      </c>
    </row>
    <row r="74" spans="1:4" s="637" customFormat="1" ht="25.5">
      <c r="A74" s="645" t="s">
        <v>1157</v>
      </c>
      <c r="B74" s="644" t="s">
        <v>795</v>
      </c>
      <c r="C74" s="643">
        <v>81</v>
      </c>
      <c r="D74" s="642" t="s">
        <v>1158</v>
      </c>
    </row>
    <row r="75" spans="1:4" s="637" customFormat="1" ht="25.5">
      <c r="A75" s="645" t="s">
        <v>1159</v>
      </c>
      <c r="B75" s="644" t="s">
        <v>794</v>
      </c>
      <c r="C75" s="643">
        <v>82</v>
      </c>
      <c r="D75" s="642" t="s">
        <v>1160</v>
      </c>
    </row>
    <row r="76" spans="1:4" s="637" customFormat="1" ht="25.5">
      <c r="A76" s="645" t="s">
        <v>1161</v>
      </c>
      <c r="B76" s="644" t="s">
        <v>793</v>
      </c>
      <c r="C76" s="643">
        <v>83</v>
      </c>
      <c r="D76" s="642" t="s">
        <v>1162</v>
      </c>
    </row>
    <row r="77" spans="1:4" s="637" customFormat="1" ht="25.5">
      <c r="A77" s="645" t="s">
        <v>1163</v>
      </c>
      <c r="B77" s="644" t="s">
        <v>792</v>
      </c>
      <c r="C77" s="643">
        <v>85</v>
      </c>
      <c r="D77" s="642" t="s">
        <v>1164</v>
      </c>
    </row>
    <row r="78" spans="1:4" s="637" customFormat="1" ht="25.5">
      <c r="A78" s="645" t="s">
        <v>1165</v>
      </c>
      <c r="B78" s="644" t="s">
        <v>791</v>
      </c>
      <c r="C78" s="643">
        <v>86</v>
      </c>
      <c r="D78" s="642" t="s">
        <v>1166</v>
      </c>
    </row>
    <row r="79" spans="1:4" s="637" customFormat="1" ht="25.5">
      <c r="A79" s="645" t="s">
        <v>1167</v>
      </c>
      <c r="B79" s="644" t="s">
        <v>790</v>
      </c>
      <c r="C79" s="643">
        <v>87</v>
      </c>
      <c r="D79" s="642" t="s">
        <v>1168</v>
      </c>
    </row>
    <row r="80" spans="1:4" s="637" customFormat="1" ht="25.5">
      <c r="A80" s="645" t="s">
        <v>1169</v>
      </c>
      <c r="B80" s="644" t="s">
        <v>789</v>
      </c>
      <c r="C80" s="643">
        <v>88</v>
      </c>
      <c r="D80" s="642" t="s">
        <v>1170</v>
      </c>
    </row>
    <row r="81" spans="1:4" s="637" customFormat="1" ht="25.5">
      <c r="A81" s="645" t="s">
        <v>1171</v>
      </c>
      <c r="B81" s="644" t="s">
        <v>788</v>
      </c>
      <c r="C81" s="643">
        <v>90</v>
      </c>
      <c r="D81" s="642" t="s">
        <v>1172</v>
      </c>
    </row>
    <row r="82" spans="1:4" s="637" customFormat="1" ht="25.5">
      <c r="A82" s="641" t="s">
        <v>1173</v>
      </c>
      <c r="B82" s="640" t="s">
        <v>787</v>
      </c>
      <c r="C82" s="639">
        <v>91</v>
      </c>
      <c r="D82" s="638" t="s">
        <v>1174</v>
      </c>
    </row>
    <row r="83" spans="1:4" s="637" customFormat="1" ht="25.5">
      <c r="A83" s="645" t="s">
        <v>1175</v>
      </c>
      <c r="B83" s="644" t="s">
        <v>786</v>
      </c>
      <c r="C83" s="643">
        <v>92</v>
      </c>
      <c r="D83" s="642" t="s">
        <v>1176</v>
      </c>
    </row>
    <row r="84" spans="1:4" s="637" customFormat="1" ht="25.5">
      <c r="A84" s="645" t="s">
        <v>1177</v>
      </c>
      <c r="B84" s="644" t="s">
        <v>785</v>
      </c>
      <c r="C84" s="643">
        <v>93</v>
      </c>
      <c r="D84" s="642" t="s">
        <v>1178</v>
      </c>
    </row>
    <row r="85" spans="1:4" s="637" customFormat="1" ht="25.5">
      <c r="A85" s="645" t="s">
        <v>1179</v>
      </c>
      <c r="B85" s="644" t="s">
        <v>784</v>
      </c>
      <c r="C85" s="643">
        <v>94</v>
      </c>
      <c r="D85" s="642" t="s">
        <v>1180</v>
      </c>
    </row>
    <row r="86" spans="1:4" s="637" customFormat="1" ht="25.5">
      <c r="A86" s="645" t="s">
        <v>1181</v>
      </c>
      <c r="B86" s="644" t="s">
        <v>783</v>
      </c>
      <c r="C86" s="643">
        <v>95</v>
      </c>
      <c r="D86" s="642" t="s">
        <v>1182</v>
      </c>
    </row>
    <row r="87" spans="1:4" s="637" customFormat="1" ht="38.25">
      <c r="A87" s="645" t="s">
        <v>1183</v>
      </c>
      <c r="B87" s="644" t="s">
        <v>782</v>
      </c>
      <c r="C87" s="643">
        <v>97</v>
      </c>
      <c r="D87" s="642" t="s">
        <v>1184</v>
      </c>
    </row>
    <row r="88" spans="1:4" s="637" customFormat="1" ht="38.25">
      <c r="A88" s="645" t="s">
        <v>1185</v>
      </c>
      <c r="B88" s="644" t="s">
        <v>781</v>
      </c>
      <c r="C88" s="643">
        <v>99</v>
      </c>
      <c r="D88" s="642" t="s">
        <v>1186</v>
      </c>
    </row>
    <row r="89" spans="1:4" s="637" customFormat="1" ht="30" customHeight="1">
      <c r="A89" s="645" t="s">
        <v>1187</v>
      </c>
      <c r="B89" s="644" t="s">
        <v>780</v>
      </c>
      <c r="C89" s="643">
        <v>101</v>
      </c>
      <c r="D89" s="642" t="s">
        <v>1188</v>
      </c>
    </row>
    <row r="90" spans="1:4" s="637" customFormat="1" ht="25.5">
      <c r="A90" s="645" t="s">
        <v>1189</v>
      </c>
      <c r="B90" s="644" t="s">
        <v>779</v>
      </c>
      <c r="C90" s="643">
        <v>103</v>
      </c>
      <c r="D90" s="642" t="s">
        <v>1190</v>
      </c>
    </row>
    <row r="91" spans="1:4" s="637" customFormat="1" ht="25.5">
      <c r="A91" s="645" t="s">
        <v>1191</v>
      </c>
      <c r="B91" s="644" t="s">
        <v>778</v>
      </c>
      <c r="C91" s="643">
        <v>105</v>
      </c>
      <c r="D91" s="642" t="s">
        <v>1192</v>
      </c>
    </row>
    <row r="92" spans="1:4" s="637" customFormat="1" ht="25.5">
      <c r="A92" s="645" t="s">
        <v>1193</v>
      </c>
      <c r="B92" s="644" t="s">
        <v>777</v>
      </c>
      <c r="C92" s="643">
        <v>107</v>
      </c>
      <c r="D92" s="642" t="s">
        <v>1194</v>
      </c>
    </row>
    <row r="93" spans="1:4" s="637" customFormat="1" ht="25.5">
      <c r="A93" s="645" t="s">
        <v>1195</v>
      </c>
      <c r="B93" s="644" t="s">
        <v>776</v>
      </c>
      <c r="C93" s="643">
        <v>109</v>
      </c>
      <c r="D93" s="642" t="s">
        <v>1196</v>
      </c>
    </row>
    <row r="94" spans="1:4" s="637" customFormat="1" ht="25.5">
      <c r="A94" s="645" t="s">
        <v>1197</v>
      </c>
      <c r="B94" s="644" t="s">
        <v>775</v>
      </c>
      <c r="C94" s="643">
        <v>110</v>
      </c>
      <c r="D94" s="642" t="s">
        <v>1198</v>
      </c>
    </row>
    <row r="95" spans="1:4" s="637" customFormat="1" ht="25.5">
      <c r="A95" s="645" t="s">
        <v>1199</v>
      </c>
      <c r="B95" s="644" t="s">
        <v>774</v>
      </c>
      <c r="C95" s="643">
        <v>111</v>
      </c>
      <c r="D95" s="642" t="s">
        <v>1200</v>
      </c>
    </row>
    <row r="96" spans="1:4" s="637" customFormat="1" ht="25.5">
      <c r="A96" s="645" t="s">
        <v>1201</v>
      </c>
      <c r="B96" s="644" t="s">
        <v>773</v>
      </c>
      <c r="C96" s="643">
        <v>112</v>
      </c>
      <c r="D96" s="642" t="s">
        <v>1202</v>
      </c>
    </row>
    <row r="97" spans="1:7" s="637" customFormat="1" ht="38.25">
      <c r="A97" s="645" t="s">
        <v>1203</v>
      </c>
      <c r="B97" s="644" t="s">
        <v>772</v>
      </c>
      <c r="C97" s="643">
        <v>114</v>
      </c>
      <c r="D97" s="642" t="s">
        <v>1204</v>
      </c>
    </row>
    <row r="98" spans="1:7" s="637" customFormat="1" ht="25.5">
      <c r="A98" s="645" t="s">
        <v>1205</v>
      </c>
      <c r="B98" s="644" t="s">
        <v>771</v>
      </c>
      <c r="C98" s="643">
        <v>115</v>
      </c>
      <c r="D98" s="642" t="s">
        <v>1206</v>
      </c>
      <c r="G98" s="650"/>
    </row>
    <row r="99" spans="1:7" s="637" customFormat="1" ht="25.5">
      <c r="A99" s="645" t="s">
        <v>1207</v>
      </c>
      <c r="B99" s="644" t="s">
        <v>770</v>
      </c>
      <c r="C99" s="643">
        <v>116</v>
      </c>
      <c r="D99" s="642" t="s">
        <v>1208</v>
      </c>
      <c r="G99" s="650"/>
    </row>
    <row r="100" spans="1:7" s="637" customFormat="1" ht="24.75">
      <c r="A100" s="649" t="s">
        <v>769</v>
      </c>
      <c r="B100" s="648"/>
      <c r="C100" s="647"/>
      <c r="D100" s="646" t="s">
        <v>768</v>
      </c>
    </row>
    <row r="101" spans="1:7" s="637" customFormat="1" ht="17.25" customHeight="1">
      <c r="A101" s="645" t="s">
        <v>767</v>
      </c>
      <c r="B101" s="644" t="s">
        <v>764</v>
      </c>
      <c r="C101" s="643">
        <v>119</v>
      </c>
      <c r="D101" s="642" t="s">
        <v>766</v>
      </c>
    </row>
    <row r="102" spans="1:7" s="637" customFormat="1" ht="17.25" customHeight="1">
      <c r="A102" s="641" t="s">
        <v>765</v>
      </c>
      <c r="B102" s="640" t="s">
        <v>764</v>
      </c>
      <c r="C102" s="639">
        <v>120</v>
      </c>
      <c r="D102" s="638" t="s">
        <v>763</v>
      </c>
    </row>
    <row r="104" spans="1:7">
      <c r="B104" s="636"/>
      <c r="C104" s="5"/>
    </row>
    <row r="105" spans="1:7" ht="31.5" customHeight="1">
      <c r="B105" s="636"/>
      <c r="C105" s="5"/>
    </row>
    <row r="106" spans="1:7">
      <c r="B106" s="636"/>
      <c r="C106" s="5"/>
    </row>
    <row r="107" spans="1:7">
      <c r="B107" s="636"/>
      <c r="C107" s="5"/>
    </row>
    <row r="108" spans="1:7" ht="30" customHeight="1">
      <c r="B108" s="636"/>
      <c r="C108" s="5"/>
    </row>
    <row r="109" spans="1:7" ht="30" customHeight="1">
      <c r="B109" s="636"/>
      <c r="C109" s="5"/>
    </row>
    <row r="110" spans="1:7" ht="30" customHeight="1">
      <c r="B110" s="636"/>
      <c r="C110" s="5"/>
    </row>
    <row r="111" spans="1:7" ht="30" customHeight="1">
      <c r="B111" s="636"/>
      <c r="C111" s="5"/>
    </row>
    <row r="112" spans="1:7" ht="30" customHeight="1">
      <c r="B112" s="636"/>
      <c r="C112" s="5"/>
    </row>
    <row r="113" spans="2:3" ht="30" customHeight="1">
      <c r="B113" s="636"/>
      <c r="C113" s="5"/>
    </row>
    <row r="114" spans="2:3" ht="30" customHeight="1">
      <c r="B114" s="636"/>
      <c r="C114" s="5"/>
    </row>
    <row r="115" spans="2:3" ht="30" customHeight="1">
      <c r="B115" s="636"/>
      <c r="C115" s="5"/>
    </row>
    <row r="116" spans="2:3" ht="30" customHeight="1">
      <c r="B116" s="636"/>
      <c r="C116" s="5"/>
    </row>
    <row r="117" spans="2:3" ht="30" customHeight="1">
      <c r="B117" s="636"/>
      <c r="C117" s="5"/>
    </row>
    <row r="118" spans="2:3" ht="12.75" customHeight="1">
      <c r="B118" s="636"/>
      <c r="C118" s="5"/>
    </row>
    <row r="119" spans="2:3" ht="90.75" customHeight="1">
      <c r="B119" s="636"/>
      <c r="C119" s="5"/>
    </row>
    <row r="120" spans="2:3">
      <c r="B120" s="636"/>
      <c r="C120" s="5"/>
    </row>
    <row r="121" spans="2:3">
      <c r="B121" s="636"/>
      <c r="C121" s="5"/>
    </row>
    <row r="122" spans="2:3">
      <c r="B122" s="636"/>
      <c r="C122" s="5"/>
    </row>
    <row r="123" spans="2:3">
      <c r="B123" s="636"/>
      <c r="C123" s="5"/>
    </row>
    <row r="124" spans="2:3">
      <c r="B124" s="636"/>
      <c r="C124" s="5"/>
    </row>
    <row r="125" spans="2:3">
      <c r="B125" s="636"/>
      <c r="C125" s="5"/>
    </row>
    <row r="126" spans="2:3">
      <c r="B126" s="636"/>
      <c r="C126" s="5"/>
    </row>
    <row r="127" spans="2:3">
      <c r="B127" s="636"/>
      <c r="C127" s="5"/>
    </row>
    <row r="128" spans="2:3">
      <c r="B128" s="636"/>
      <c r="C128" s="5"/>
    </row>
    <row r="129" spans="2:3">
      <c r="B129" s="636"/>
      <c r="C129" s="5"/>
    </row>
    <row r="130" spans="2:3">
      <c r="B130" s="636"/>
      <c r="C130" s="5"/>
    </row>
    <row r="131" spans="2:3">
      <c r="B131" s="636"/>
      <c r="C131" s="5"/>
    </row>
    <row r="132" spans="2:3">
      <c r="B132" s="636"/>
      <c r="C132" s="5"/>
    </row>
    <row r="133" spans="2:3">
      <c r="B133" s="636"/>
      <c r="C133" s="5"/>
    </row>
    <row r="134" spans="2:3">
      <c r="B134" s="636"/>
      <c r="C134" s="5"/>
    </row>
    <row r="135" spans="2:3">
      <c r="B135" s="636"/>
      <c r="C135" s="5"/>
    </row>
    <row r="136" spans="2:3">
      <c r="B136" s="636"/>
      <c r="C136" s="5"/>
    </row>
    <row r="137" spans="2:3">
      <c r="B137" s="636"/>
      <c r="C137" s="5"/>
    </row>
    <row r="138" spans="2:3">
      <c r="B138" s="636"/>
      <c r="C138" s="5"/>
    </row>
    <row r="139" spans="2:3">
      <c r="B139" s="636"/>
      <c r="C139" s="5"/>
    </row>
    <row r="140" spans="2:3">
      <c r="B140" s="636"/>
      <c r="C140" s="5"/>
    </row>
    <row r="141" spans="2:3">
      <c r="B141" s="636"/>
      <c r="C141" s="5"/>
    </row>
    <row r="142" spans="2:3">
      <c r="B142" s="636"/>
      <c r="C142" s="5"/>
    </row>
    <row r="143" spans="2:3">
      <c r="B143" s="636"/>
      <c r="C143" s="5"/>
    </row>
    <row r="144" spans="2:3">
      <c r="B144" s="636"/>
      <c r="C144" s="5"/>
    </row>
    <row r="145" spans="2:3">
      <c r="B145" s="636"/>
      <c r="C145" s="5"/>
    </row>
    <row r="146" spans="2:3">
      <c r="B146" s="636"/>
      <c r="C146" s="5"/>
    </row>
    <row r="147" spans="2:3">
      <c r="B147" s="636"/>
      <c r="C147" s="5"/>
    </row>
    <row r="148" spans="2:3">
      <c r="B148" s="636"/>
      <c r="C148" s="5"/>
    </row>
    <row r="149" spans="2:3">
      <c r="B149" s="636"/>
      <c r="C149" s="5"/>
    </row>
    <row r="150" spans="2:3">
      <c r="B150" s="636"/>
      <c r="C150" s="5"/>
    </row>
    <row r="151" spans="2:3">
      <c r="B151" s="636"/>
      <c r="C151" s="5"/>
    </row>
    <row r="152" spans="2:3">
      <c r="B152" s="636"/>
      <c r="C152" s="5"/>
    </row>
    <row r="153" spans="2:3">
      <c r="B153" s="636"/>
      <c r="C153" s="5"/>
    </row>
    <row r="154" spans="2:3">
      <c r="B154" s="636"/>
      <c r="C154" s="5"/>
    </row>
    <row r="155" spans="2:3">
      <c r="B155" s="636"/>
      <c r="C155" s="5"/>
    </row>
    <row r="156" spans="2:3">
      <c r="B156" s="636"/>
      <c r="C156" s="5"/>
    </row>
    <row r="157" spans="2:3">
      <c r="B157" s="636"/>
      <c r="C157" s="5"/>
    </row>
    <row r="158" spans="2:3">
      <c r="B158" s="636"/>
      <c r="C158" s="5"/>
    </row>
    <row r="159" spans="2:3">
      <c r="B159" s="636"/>
      <c r="C159" s="5"/>
    </row>
    <row r="160" spans="2:3">
      <c r="B160" s="636"/>
      <c r="C160" s="5"/>
    </row>
    <row r="161" spans="2:3">
      <c r="B161" s="636"/>
      <c r="C161" s="5"/>
    </row>
    <row r="162" spans="2:3">
      <c r="B162" s="636"/>
      <c r="C162" s="5"/>
    </row>
    <row r="163" spans="2:3">
      <c r="B163" s="636"/>
      <c r="C163" s="5"/>
    </row>
    <row r="164" spans="2:3">
      <c r="B164" s="636"/>
      <c r="C164" s="5"/>
    </row>
    <row r="165" spans="2:3">
      <c r="B165" s="636"/>
      <c r="C165" s="5"/>
    </row>
    <row r="166" spans="2:3">
      <c r="B166" s="636"/>
      <c r="C166" s="5"/>
    </row>
    <row r="167" spans="2:3">
      <c r="B167" s="636"/>
      <c r="C167" s="5"/>
    </row>
    <row r="168" spans="2:3">
      <c r="B168" s="636"/>
      <c r="C168" s="5"/>
    </row>
    <row r="169" spans="2:3">
      <c r="B169" s="636"/>
      <c r="C169" s="5"/>
    </row>
    <row r="170" spans="2:3">
      <c r="B170" s="636"/>
      <c r="C170" s="5"/>
    </row>
    <row r="171" spans="2:3">
      <c r="B171" s="636"/>
      <c r="C171" s="5"/>
    </row>
    <row r="172" spans="2:3">
      <c r="B172" s="636"/>
      <c r="C172" s="5"/>
    </row>
    <row r="173" spans="2:3">
      <c r="B173" s="636"/>
      <c r="C173" s="5"/>
    </row>
    <row r="174" spans="2:3">
      <c r="B174" s="636"/>
      <c r="C174" s="5"/>
    </row>
    <row r="175" spans="2:3">
      <c r="B175" s="636"/>
      <c r="C175" s="5"/>
    </row>
  </sheetData>
  <mergeCells count="1">
    <mergeCell ref="A1:D1"/>
  </mergeCells>
  <hyperlinks>
    <hyperlink ref="A13:D13" location="'4'!A1" display="'4'!A1"/>
    <hyperlink ref="A14:D14" location="'5'!A1" display="عقود الزواج حسب جنسية الزوج والزوجة ومكان إقامة الزوج (2009) "/>
    <hyperlink ref="A16:D16" location="'7'!A1" display="عقود الزواج حسب جنسية الزوجة والزوج (2009)"/>
    <hyperlink ref="A17:D17" location="'8'!A1" display="عقود الزواج حسب فئة عمر الزوج وجنسيته (2009)"/>
    <hyperlink ref="A18:D18" location="'9'!A1" display="عقود الزواج حسب فئة عمر الزوجة وجنسيتها (2009)"/>
    <hyperlink ref="A19:D19" location="'10'!A1" display="عقود الزواج حسب فئة عمر الزوجة وجنسيتها (2010)"/>
    <hyperlink ref="A20:D20" location="'11-1'!A1" display="عقود الزواج حسب فئة عمر الزوجة والزوج (قطريون) (2010)"/>
    <hyperlink ref="A21:D21" location="'11-2'!A1" display="عقود الزواج حسب فئة عمر الزوجة والزوج (غير قطريين) (2010)"/>
    <hyperlink ref="A22:D22" location="'11-3'!A1" display="عقود الزواج حسب فئة عمر الزوجة والزوج (المجموع) (2010)"/>
    <hyperlink ref="A23:D23" location="'12-1'!A1" display="عقود الزواج حسب عدد الزوجات بالعصمة وفئة عمر الزوج (قطريون) (2010)"/>
    <hyperlink ref="A24:D24" location="'12-2'!A1" display="عقــود الزواج حسب عدد الزوجـات بالعصمــة وفئة عمر الزوج (غير قطريين) (2010)"/>
    <hyperlink ref="A28:D28" location="'13-3'!A1" display="عقود الزواج حسب الحالة الزواجية وفئة عمر الزوج (المجموع) (2010)"/>
    <hyperlink ref="A29:D29" location="'14-1'!A1" display="عقود الزواج حسب الحالة الزواجية للزوجة وفئة عمرها (قطريات) (2010)"/>
    <hyperlink ref="A30:D30" location="'14-2'!A1" display="'14-2'!A1"/>
    <hyperlink ref="A31:D31" location="'14-3'!A1" display="عقود الزواج حسب الحالة الزواجية للزوجة وفئة عمرها (المجموع) (2010)"/>
    <hyperlink ref="A32:D32" location="'15-1'!A1" display="عقود الزواج الأول للزوج والزوجة حسب العمر (قطريون) (2010)"/>
    <hyperlink ref="A34:D34" location="'15-3'!A1" display="عقود الزواج الأول للزوج والزوجة حسب العمر (المجموع) (2010)"/>
    <hyperlink ref="A35:D35" location="'16-1'!A1" display="عقود الزواج حسب الحالة التعليمية للزوجة والزوج (قطريون) (2010)"/>
    <hyperlink ref="A36:D36" location="'16-2'!A1" display="'16-2'!A1"/>
    <hyperlink ref="A37:D37" location="'16-3'!A1" display="عقود الزواج حسب الحالة التعليمية للزوجة والزوج (المجموع) (2010)"/>
    <hyperlink ref="A38:D38" location="'17-1'!A1" display="عقود الزواج حسب مهنة الزوجة والزوج (قطريون) (2010)"/>
    <hyperlink ref="A39:D39" location="'17-2'!A1" display="عقود الزواج حسب مهنة الزوجة والزوج (غير قطريين) (2010)"/>
    <hyperlink ref="A40:D40" location="'17-3'!A1" display="عقود الزواج حسب مهنة الزوجة والزوج (المجموع) (2010)"/>
    <hyperlink ref="A41:D41" location="'18-1'!A1" display="عقود الزواج للقطريين حسب صلة القرابة وفئة عمر الزوجة والزوج (قرابة من الدرجة الأولى) (2010)"/>
    <hyperlink ref="A42:D42" location="'18-2'!A1" display="عقود الزواج للقطريين حسب صلة القرابة وفئة عمر الزوجة والزوج (قرابة من الدرجة الثانية) (2010)"/>
    <hyperlink ref="A25:D25" location="'12-3'!A1" display="عقود الزواج حسب عدد الزوجات بالعصمة وفئة عمر الزوج (المجموع) (2010)"/>
    <hyperlink ref="A26:D26" location="'13-1'!A1" display="عقود الزواج حسب الحالة الزواجية وفئة عمر الزوج (قطريون) (2010)"/>
    <hyperlink ref="A27:D27" location="'13-2'!A1" display="عقود الزواج حسب الحالة الزواجية وفئة عمر الزوج (غير قطريين) (2010)"/>
    <hyperlink ref="A49:D49" location="'23'!A1" display="اشهادات الطلاق حسب جنسية الزوج والزوجة والشهر (2010)"/>
    <hyperlink ref="A50:D50" location="'24'!A1" display="اشهادات الطلاق حسب نوع الطلاق وجنسية الزوج (2010)"/>
    <hyperlink ref="A51:D51" location="'25-1'!A1" display="اشهادات الطلاق حسب نوع الطلاق وفئة عمر الزوج (قطريون) (2010)"/>
    <hyperlink ref="A52:D52" location="'25-2'!A1" display="'25-2'!A1"/>
    <hyperlink ref="A53:D53" location="'25-3'!A1" display="اشهادات الطلاق حسب نوع الطلاق وفئة عمر الزوج (المجموع) (2010)"/>
    <hyperlink ref="A54:D54" location="'26-1'!A1" display="اشهادات الطلاق حسب نوع الطلاق وفئة عمر الزوجة (قطريات) (2010)"/>
    <hyperlink ref="A55:D55" location="'26-2'!A1" display="'26-2'!A1"/>
    <hyperlink ref="A56:D56" location="'26-3'!A1" display="اشهادات الطلاق حسب نوع الطلاق وفئة عمر الزوجة (المجموع) (2010)"/>
    <hyperlink ref="A58:D58" location="'28.1'!A1" display="اشهادات الطلاق حسب نوع الطلاق ومدة الحياة الزواجية للزوج (قطريون) (2011)"/>
    <hyperlink ref="A59:D59" location="'28.2'!A1" display="اشهادات الطلاق حسب نوع الطلاق ومدة الحياة الزواجية للزوج (غير قطريين) (2011)"/>
    <hyperlink ref="A60:D60" location="'28.3'!A1" display="اشهادات الطلاق حسب نوع الطلاق ومدة الحياة الزواجية للزوج (المجموع) (2011)"/>
    <hyperlink ref="A62:D62" location="'30.1'!A1" display="اشهادات الطلاق حسب نوع الطلاق ومدة الحياة الزواجية للزوجة (قطريات) (2011)"/>
    <hyperlink ref="A63:D63" location="'30.2'!A1" display="اشهادات الطلاق حسب نوع الطلاق ومدة الحياة الزواجية للزوجة (غيرقطريات) (2011)"/>
    <hyperlink ref="A64:D64" location="'30.3'!A1" display="اشهادات الطلاق حسب نوع الطلاق ومدة الحياة الزواجية للزوجة (المجموع) (2011)"/>
    <hyperlink ref="A65:D65" location="'31.1'!A1" display="اشهادات الطلاق حسب مدة الحياة الزواجية وفئة عمر الزوج (قطريون) (2011)"/>
    <hyperlink ref="A66:D66" location="'31.2'!A1" display="'31.2'!A1"/>
    <hyperlink ref="A67:D67" location="'31.3'!A1" display="'31.3'!A1"/>
    <hyperlink ref="A68:D68" location="'32.1'!A1" display="اشهادات الطلاق حسب مدة الحياة الزواجية وفئة عمر الزوجة (قطريات) (2011)"/>
    <hyperlink ref="A69:D69" location="'32.2'!A1" display="'32.2'!A1"/>
    <hyperlink ref="A70:D70" location="'32.3'!A1" display="'32.3'!A1"/>
    <hyperlink ref="A71:D71" location="'33.1'!A1" display="اشهادات الطلاق حسب فئة عمر الزوجة والزوج (قطريون) (2011)"/>
    <hyperlink ref="A72:D72" location="'33.2'!A1" display="اشهادات الطلاق حسب فئة عمر الزوجة والزوج (غير قطريين) (2011)"/>
    <hyperlink ref="A73:D73" location="'33.3'!A1" display="اشهادات الطلاق حسب فئة عمر الزوجة والزوج (المجموع) (2011)"/>
    <hyperlink ref="A74:D74" location="'34'!A1" display="اشهادات الطلاق حسب فئة عمر الزوج وجنسيته (2011)"/>
    <hyperlink ref="A75:D75" location="'35'!A1" display="اشهادات الطلاق حسب فئة عمر الزوجة وجنسيتها (2011)"/>
    <hyperlink ref="A76:D76" location="'36'!A1" display="اشهادات الطلاق حسب جنسية الزوجة والزوج (2011)"/>
    <hyperlink ref="A77:D77" location="'37'!A1" display="إشهادات الطلاق حسب عدد الزوجات بالعصمة وفئة عمر الزوج (2011)"/>
    <hyperlink ref="A78:D78" location="'38.1'!A1" display="اشهادات الطلاق حسب الحالة التعليمية للزوجة والزوج (قطريون) (2011)"/>
    <hyperlink ref="A79:D79" location="'38.2'!A1" display="'38.2'!A1"/>
    <hyperlink ref="A80:D80" location="'38.3'!A1" display="اشهادات الطلاق حسب الحالة التعليمية للزوجة والزوج (المجموع) (2011)"/>
    <hyperlink ref="A81:D81" location="'39.1'!A1" display="اشهادات الطلاق حسب الحالة التعليمية للزوجة وفئة عمرها (قطريات) (2011)"/>
    <hyperlink ref="A82:D82" location="'39.2'!A1" display="'39.2'!A1"/>
    <hyperlink ref="A83:D83" location="'39.3'!A1" display="اشهادات الطلاق حسب الحالة التعليمية للزوجة وفئة عمرها (المجموع) (2011)"/>
    <hyperlink ref="A84:D84" location="'40.1'!A1" display="اشهادات الطلاق حسب مهنة الزوجة والزوج (قطريون) (2011)"/>
    <hyperlink ref="A85:D85" location="'40.2'!A1" display="اشهادات الطلاق حسب مهنة الزوجة والزوج (غير قطريين) (2011)"/>
    <hyperlink ref="A86:D86" location="'40.3'!A1" display="اشهادات الطلاق حسب مهنة الزوجة والزوج (المجموع) (2011)"/>
    <hyperlink ref="A87:D87" location="'41.1'!A1" display="إشهادات الطلاق للقطريين حسب صلة القرابة وفئة عمر الزوج والزوجة (القرابة من الدرجة الأولى) (2011)"/>
    <hyperlink ref="A88:D88" location="'41.2'!A1" display="إشهادات الطلاق للقطريين حسب صلة القرابة وفئة عمر الزوج والزوجة (القرابة من الدرجة الثانية) (2011)"/>
    <hyperlink ref="A89:D89" location="'41.3'!A1" display="إشهادات الطلاق للقطريين حسب صلة القرابة وفئة عمر الزوج والزوجة (لا توجد صلة قرابة) (2011)"/>
    <hyperlink ref="A90:D90" location="'42-1'!A1" display="عدد الأبناء للمطلقة حسب فئة عمرالزوج والزوجة (قطريات) (2011)"/>
    <hyperlink ref="A91:D91" location="'42-2'!A1" display="عدد الأبناء للمطلقة حسب فئة عمرالزوج والزوجة (غير قطريات) (2011)"/>
    <hyperlink ref="A92:D92" location="'42-3'!A1" display="عدد الأبناء للمطلقة حسب فئة عمرالزوج والزوجة (المجموع) (2011)"/>
    <hyperlink ref="A93:D93" location="'43-1'!A1" display="إشهادات الطلاق حسب عدد الأبناء وفئة عمر الزوجة (قطريات) (2011)"/>
    <hyperlink ref="A94:D94" location="'43-2'!A1" display="إشهادات الطلاق حسب عدد الأبناء وفئة عمر الزوجة(غير قطريات) (2011)"/>
    <hyperlink ref="A95:D95" location="'43-3'!A1" display="إشهادات الطلاق حسب عدد الأبناء وفئة عمر الزوجة(المجموع) (2011)"/>
    <hyperlink ref="A101:D101" location="زواج!A1" display="1 - كشف عقود زواج"/>
    <hyperlink ref="A102:D102" location="طلاق!A1" display="2 - كشف اشهادات الطلاق"/>
    <hyperlink ref="A47:D47" location="'21'!A1" display="معدل الطلاق العام حسب الجنسية والجنس لكل الف من السكان (15 سنة فأكثر) (2001 - 2010)"/>
    <hyperlink ref="A97:D97" location="'45'!A1" display="إشهادات الطلاق حسب جنسية الزوج والزوجة وعدد أبناء الزوجة ومدة الحياة الزواجية للزوج"/>
    <hyperlink ref="A96:D96" location="'44'!A1" display="إشهادات الطلاق حسب عدد أبناء الزوجة وجنسية الزوج والزوجة"/>
    <hyperlink ref="A11:D11" location="'2'!A1" display="عقود الزواج واشهادات الطلاق لفاقدين القيد حسب الجنسية"/>
    <hyperlink ref="A43:D43" location="'18-3'!A1" display="عقود الزواج للقطريين حسب صلة القرابة وفئة عمر الزوجة والزوج (لا توجد صلة قرابة) (2010)"/>
    <hyperlink ref="A44:D44" location="'19'!A1" display="عقود الزواج حسب عدد أبناء الزوج وجنسية الزوج والزوجة"/>
    <hyperlink ref="A45:D45" location="'20'!A1" display="عقود الزواج حسب عدد أبناء الزوجة وجنسية الزوج والزوجة"/>
    <hyperlink ref="A57:D57" location="'27'!A1" display="إشهادات الطلاق حسب نوع الطلاق وطالب الطلاق وجنسية الزوج والزوجة"/>
    <hyperlink ref="A61:D61" location="'29'!A1" display="إشهادات الطلاق حسب جنسية الزوج والزوجة وعدد طالبي الطلاق ومدة الحياة الزواجية للزوج"/>
    <hyperlink ref="A98:D98" location="'46'!A1" display="عدد الأبناء للمطلقة من الزوج الحالي حسب جنسية الزوجة"/>
    <hyperlink ref="A99:D99" location="'47'!A1" display="عدد الأبناء للمطلقة من الأزواج السابقين حسب جنسية الزوجة"/>
    <hyperlink ref="D11" r:id="rId1" location="'2'!A1" display="Bulletin_Marriages_Divorces_DB_2013.xlsx - '2'!A1"/>
    <hyperlink ref="D13" r:id="rId2" location="'4'!A1" display="Bulletin_Marriages_Divorces_DB_2013.xlsx - '4'!A1"/>
    <hyperlink ref="D14" r:id="rId3" location="'5'!A1" display="Bulletin_Marriages_Divorces_DB_2013.xlsx - '5'!A1"/>
    <hyperlink ref="D16" r:id="rId4" location="'7'!A1" display="Bulletin_Marriages_Divorces_DB_2013.xlsx - '7'!A1"/>
    <hyperlink ref="D17" r:id="rId5" location="'8'!A1" display="Bulletin_Marriages_Divorces_DB_2013.xlsx - '8'!A1"/>
    <hyperlink ref="D18" r:id="rId6" location="'9'!A1" display="Bulletin_Marriages_Divorces_DB_2013.xlsx - '9'!A1"/>
    <hyperlink ref="D19" r:id="rId7" location="'10'!A1" display="Bulletin_Marriages_Divorces_DB_2013.xlsx - '10'!A1"/>
    <hyperlink ref="D20" r:id="rId8" location="'11-1'!A1" display="Bulletin_Marriages_Divorces_DB_2013.xlsx - '11-1'!A1"/>
    <hyperlink ref="D21" r:id="rId9" location="'11-2'!A1" display="Bulletin_Marriages_Divorces_DB_2013.xlsx - '11-2'!A1"/>
    <hyperlink ref="D22" r:id="rId10" location="'11-3'!A1" display="Bulletin_Marriages_Divorces_DB_2013.xlsx - '11-3'!A1"/>
    <hyperlink ref="D23" r:id="rId11" location="'12-1'!A1" display="Bulletin_Marriages_Divorces_DB_2013.xlsx - '12-1'!A1"/>
    <hyperlink ref="D24" r:id="rId12" location="'12-2'!A1" display="Bulletin_Marriages_Divorces_DB_2013.xlsx - '12-2'!A1"/>
    <hyperlink ref="D25" r:id="rId13" location="'12-3'!A1" display="Bulletin_Marriages_Divorces_DB_2013.xlsx - '12-3'!A1"/>
    <hyperlink ref="D26" r:id="rId14" location="'13-1'!A1" display="Bulletin_Marriages_Divorces_DB_2013.xlsx - '13-1'!A1"/>
    <hyperlink ref="D27" r:id="rId15" location="'13-2'!A1" display="Bulletin_Marriages_Divorces_DB_2013.xlsx - '13-2'!A1"/>
    <hyperlink ref="D28" r:id="rId16" location="'13-3'!A1" display="Bulletin_Marriages_Divorces_DB_2013.xlsx - '13-3'!A1"/>
    <hyperlink ref="D29" r:id="rId17" location="'14-1'!A1" display="Bulletin_Marriages_Divorces_DB_2013.xlsx - '14-1'!A1"/>
    <hyperlink ref="D30" r:id="rId18" location="'14-2'!A1" display="Bulletin_Marriages_Divorces_DB_2013.xlsx - '14-2'!A1"/>
    <hyperlink ref="D31" r:id="rId19" location="'14-3'!A1" display="Bulletin_Marriages_Divorces_DB_2013.xlsx - '14-3'!A1"/>
    <hyperlink ref="D32" r:id="rId20" location="'15-1'!A1" display="Bulletin_Marriages_Divorces_DB_2013.xlsx - '15-1'!A1"/>
    <hyperlink ref="D34" r:id="rId21" location="'15-3'!A1" display="Bulletin_Marriages_Divorces_DB_2013.xlsx - '15-3'!A1"/>
    <hyperlink ref="D35" r:id="rId22" location="'16-1'!A1" display="Bulletin_Marriages_Divorces_DB_2013.xlsx - '16-1'!A1"/>
    <hyperlink ref="D36" r:id="rId23" location="'16-2'!A1" display="Bulletin_Marriages_Divorces_DB_2013.xlsx - '16-2'!A1"/>
    <hyperlink ref="D37" r:id="rId24" location="'16-3'!A1" display="Bulletin_Marriages_Divorces_DB_2013.xlsx - '16-3'!A1"/>
    <hyperlink ref="D38" r:id="rId25" location="'17-1'!A1" display="Bulletin_Marriages_Divorces_DB_2013.xlsx - '17-1'!A1"/>
    <hyperlink ref="D39" r:id="rId26" location="'17-2'!A1" display="Bulletin_Marriages_Divorces_DB_2013.xlsx - '17-2'!A1"/>
    <hyperlink ref="D40" r:id="rId27" location="'17-3'!A1" display="Bulletin_Marriages_Divorces_DB_2013.xlsx - '17-3'!A1"/>
    <hyperlink ref="D41" r:id="rId28" location="'18-1'!A1" display="Bulletin_Marriages_Divorces_DB_2013.xlsx - '18-1'!A1"/>
    <hyperlink ref="D42" r:id="rId29" location="'18-2'!A1" display="Bulletin_Marriages_Divorces_DB_2013.xlsx - '18-2'!A1"/>
    <hyperlink ref="D43" r:id="rId30" location="'18-3'!A1" display="Bulletin_Marriages_Divorces_DB_2013.xlsx - '18-3'!A1"/>
    <hyperlink ref="D44" r:id="rId31" location="'19'!A1" display="Bulletin_Marriages_Divorces_DB_2013.xlsx - '19'!A1"/>
    <hyperlink ref="D45" r:id="rId32" location="'20'!A1" display="Bulletin_Marriages_Divorces_DB_2013.xlsx - '20'!A1"/>
    <hyperlink ref="D47" r:id="rId33" location="'21'!A1" display="Bulletin_Marriages_Divorces_DB_2013.xlsx - '21'!A1"/>
    <hyperlink ref="D49" r:id="rId34" location="'23'!A1" display="Bulletin_Marriages_Divorces_DB_2013.xlsx - '23'!A1"/>
    <hyperlink ref="D50" r:id="rId35" location="'24'!A1" display="Bulletin_Marriages_Divorces_DB_2013.xlsx - '24'!A1"/>
    <hyperlink ref="D51" r:id="rId36" location="'25-1'!A1" display="Bulletin_Marriages_Divorces_DB_2013.xlsx - '25-1'!A1"/>
    <hyperlink ref="D52" r:id="rId37" location="'25-2'!A1" display="Bulletin_Marriages_Divorces_DB_2013.xlsx - '25-2'!A1"/>
    <hyperlink ref="D53" r:id="rId38" location="'25-3'!A1" display="Bulletin_Marriages_Divorces_DB_2013.xlsx - '25-3'!A1"/>
    <hyperlink ref="D54" r:id="rId39" location="'26-1'!A1" display="Bulletin_Marriages_Divorces_DB_2013.xlsx - '26-1'!A1"/>
    <hyperlink ref="D55" r:id="rId40" location="'26-2'!A1" display="Bulletin_Marriages_Divorces_DB_2013.xlsx - '26-2'!A1"/>
    <hyperlink ref="D56" r:id="rId41" location="'26-3'!A1" display="Bulletin_Marriages_Divorces_DB_2013.xlsx - '26-3'!A1"/>
    <hyperlink ref="D57" r:id="rId42" location="'27'!A1" display="Bulletin_Marriages_Divorces_DB_2013.xlsx - '27'!A1"/>
    <hyperlink ref="D58" r:id="rId43" location="'28.1'!A1" display="Bulletin_Marriages_Divorces_DB_2013.xlsx - '28.1'!A1"/>
    <hyperlink ref="D59" r:id="rId44" location="'28.2'!A1" display="Bulletin_Marriages_Divorces_DB_2013.xlsx - '28.2'!A1"/>
    <hyperlink ref="D60" r:id="rId45" location="'28.3'!A1" display="Bulletin_Marriages_Divorces_DB_2013.xlsx - '28.3'!A1"/>
    <hyperlink ref="D61" r:id="rId46" location="'29'!A1" display="Bulletin_Marriages_Divorces_DB_2013.xlsx - '29'!A1"/>
    <hyperlink ref="D62" r:id="rId47" location="'30.1'!A1" display="Bulletin_Marriages_Divorces_DB_2013.xlsx - '30.1'!A1"/>
    <hyperlink ref="D63" r:id="rId48" location="'30.2'!A1" display="Bulletin_Marriages_Divorces_DB_2013.xlsx - '30.2'!A1"/>
    <hyperlink ref="D64" r:id="rId49" location="'30.3'!A1" display="Bulletin_Marriages_Divorces_DB_2013.xlsx - '30.3'!A1"/>
    <hyperlink ref="D65" r:id="rId50" location="'31.1'!A1" display="Bulletin_Marriages_Divorces_DB_2013.xlsx - '31.1'!A1"/>
    <hyperlink ref="D66" r:id="rId51" location="'31.2'!A1" display="Bulletin_Marriages_Divorces_DB_2013.xlsx - '31.2'!A1"/>
    <hyperlink ref="D67" r:id="rId52" location="'31.3'!A1" display="Bulletin_Marriages_Divorces_DB_2013.xlsx - '31.3'!A1"/>
    <hyperlink ref="D68" r:id="rId53" location="'32.1'!A1" display="Bulletin_Marriages_Divorces_DB_2013.xlsx - '32.1'!A1"/>
    <hyperlink ref="D69" r:id="rId54" location="'32.2'!A1" display="Bulletin_Marriages_Divorces_DB_2013.xlsx - '32.2'!A1"/>
    <hyperlink ref="D70" r:id="rId55" location="'32.3'!A1" display="Bulletin_Marriages_Divorces_DB_2013.xlsx - '32.3'!A1"/>
    <hyperlink ref="D71" r:id="rId56" location="'33.1'!A1" display="Bulletin_Marriages_Divorces_DB_2013.xlsx - '33.1'!A1"/>
    <hyperlink ref="D72" r:id="rId57" location="'33.2'!A1" display="Bulletin_Marriages_Divorces_DB_2013.xlsx - '33.2'!A1"/>
    <hyperlink ref="D73" r:id="rId58" location="'33.3'!A1" display="Bulletin_Marriages_Divorces_DB_2013.xlsx - '33.3'!A1"/>
    <hyperlink ref="D74" r:id="rId59" location="'34'!A1" display="Bulletin_Marriages_Divorces_DB_2013.xlsx - '34'!A1"/>
    <hyperlink ref="D75" r:id="rId60" location="'35'!A1" display="Bulletin_Marriages_Divorces_DB_2013.xlsx - '35'!A1"/>
    <hyperlink ref="D76" r:id="rId61" location="'36'!A1" display="Bulletin_Marriages_Divorces_DB_2013.xlsx - '36'!A1"/>
    <hyperlink ref="D77" r:id="rId62" location="'37'!A1" display="Bulletin_Marriages_Divorces_DB_2013.xlsx - '37'!A1"/>
    <hyperlink ref="D78" r:id="rId63" location="'38.1'!A1" display="Bulletin_Marriages_Divorces_DB_2013.xlsx - '38.1'!A1"/>
    <hyperlink ref="D79" r:id="rId64" location="'38.2'!A1" display="Bulletin_Marriages_Divorces_DB_2013.xlsx - '38.2'!A1"/>
    <hyperlink ref="D80" r:id="rId65" location="'38.3'!A1" display="Bulletin_Marriages_Divorces_DB_2013.xlsx - '38.3'!A1"/>
    <hyperlink ref="D81" r:id="rId66" location="'39.1'!A1" display="Bulletin_Marriages_Divorces_DB_2013.xlsx - '39.1'!A1"/>
    <hyperlink ref="D82" r:id="rId67" location="'39.2'!A1" display="Bulletin_Marriages_Divorces_DB_2013.xlsx - '39.2'!A1"/>
    <hyperlink ref="D83" r:id="rId68" location="'39.3'!A1" display="Bulletin_Marriages_Divorces_DB_2013.xlsx - '39.3'!A1"/>
    <hyperlink ref="D84" r:id="rId69" location="'40.1'!A1" display="Bulletin_Marriages_Divorces_DB_2013.xlsx - '40.1'!A1"/>
    <hyperlink ref="D85" r:id="rId70" location="'40.2'!A1" display="Bulletin_Marriages_Divorces_DB_2013.xlsx - '40.2'!A1"/>
    <hyperlink ref="D86" r:id="rId71" location="'40.3'!A1" display="Bulletin_Marriages_Divorces_DB_2013.xlsx - '40.3'!A1"/>
    <hyperlink ref="D87" r:id="rId72" location="'41.1'!A1" display="Bulletin_Marriages_Divorces_DB_2013.xlsx - '41.1'!A1"/>
    <hyperlink ref="D88" r:id="rId73" location="'41.2'!A1" display="Bulletin_Marriages_Divorces_DB_2013.xlsx - '41.2'!A1"/>
    <hyperlink ref="D89" r:id="rId74" location="'41.3'!A1" display="Bulletin_Marriages_Divorces_DB_2013.xlsx - '41.3'!A1"/>
    <hyperlink ref="D90" r:id="rId75" location="'42-1'!A1" display="Bulletin_Marriages_Divorces_DB_2013.xlsx - '42-1'!A1"/>
    <hyperlink ref="D91" r:id="rId76" location="'42-2'!A1" display="Bulletin_Marriages_Divorces_DB_2013.xlsx - '42-2'!A1"/>
    <hyperlink ref="D92" r:id="rId77" location="'42-3'!A1" display="Bulletin_Marriages_Divorces_DB_2013.xlsx - '42-3'!A1"/>
    <hyperlink ref="D93" r:id="rId78" location="'43-1'!A1" display="Bulletin_Marriages_Divorces_DB_2013.xlsx - '43-1'!A1"/>
    <hyperlink ref="D94" r:id="rId79" location="'43-2'!A1" display="Bulletin_Marriages_Divorces_DB_2013.xlsx - '43-2'!A1"/>
    <hyperlink ref="D95" r:id="rId80" location="'43-3'!A1" display="Bulletin_Marriages_Divorces_DB_2013.xlsx - '43-3'!A1"/>
    <hyperlink ref="D96" r:id="rId81" location="'44'!A1" display="Bulletin_Marriages_Divorces_DB_2013.xlsx - '44'!A1"/>
    <hyperlink ref="D97" r:id="rId82" location="'45'!A1" display="Bulletin_Marriages_Divorces_DB_2013.xlsx - '45'!A1"/>
    <hyperlink ref="D101" r:id="rId83" location="Cont.!A1" display="Bulletin_Marriages_Divorces_DB_2013.xlsx - Cont.!A1"/>
    <hyperlink ref="D102" r:id="rId84" location="Cont.!A1" display="Bulletin_Marriages_Divorces_DB_2013.xlsx - Cont.!A1"/>
    <hyperlink ref="B15" location="'6 '!A1" display="6"/>
    <hyperlink ref="B10" location="'1'!A1" display="'1'!A1"/>
    <hyperlink ref="B48" location="'22'!A1" display="22"/>
    <hyperlink ref="D33" r:id="rId85" location="'15-2'!A1" display="Bulletin_Marriages_Divorces_DB_2013.xlsx - '15-2'!A1"/>
    <hyperlink ref="A33:D33" location="'15-2'!A1" display="عقود الزواج الأول للزوج والزوجة حسب العمر(غير قطريين) (2010)"/>
  </hyperlinks>
  <printOptions horizontalCentered="1"/>
  <pageMargins left="0" right="0" top="0.78740157480314965" bottom="0.39370078740157483" header="0.51181102362204722" footer="0.51181102362204722"/>
  <pageSetup paperSize="9" scale="92" orientation="portrait" r:id="rId86"/>
  <headerFooter alignWithMargins="0"/>
  <rowBreaks count="3" manualBreakCount="3">
    <brk id="30" max="3" man="1"/>
    <brk id="55" max="3" man="1"/>
    <brk id="82"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24"/>
  <sheetViews>
    <sheetView rightToLeft="1" view="pageBreakPreview" zoomScaleNormal="100" zoomScaleSheetLayoutView="100" workbookViewId="0">
      <selection activeCell="M18" sqref="M18"/>
    </sheetView>
  </sheetViews>
  <sheetFormatPr defaultColWidth="9.140625" defaultRowHeight="12.75"/>
  <cols>
    <col min="1" max="1" width="25.42578125" style="2" customWidth="1"/>
    <col min="2" max="4" width="13.5703125" style="2" customWidth="1"/>
    <col min="5" max="5" width="11.140625" style="2" customWidth="1"/>
    <col min="6" max="7" width="13.42578125" style="2" customWidth="1"/>
    <col min="8" max="8" width="26.5703125" style="2" customWidth="1"/>
    <col min="9" max="16384" width="9.140625" style="2"/>
  </cols>
  <sheetData>
    <row r="1" spans="1:11" ht="21.75" customHeight="1">
      <c r="A1" s="1009" t="s">
        <v>152</v>
      </c>
      <c r="B1" s="1009"/>
      <c r="C1" s="1110"/>
      <c r="D1" s="1009"/>
      <c r="E1" s="1009"/>
      <c r="F1" s="1009"/>
      <c r="G1" s="1009"/>
      <c r="H1" s="1009"/>
    </row>
    <row r="2" spans="1:11" ht="15.75">
      <c r="A2" s="1036" t="s">
        <v>151</v>
      </c>
      <c r="B2" s="1036"/>
      <c r="C2" s="1036"/>
      <c r="D2" s="1036"/>
      <c r="E2" s="1036"/>
      <c r="F2" s="1036"/>
      <c r="G2" s="1036"/>
      <c r="H2" s="1036"/>
    </row>
    <row r="3" spans="1:11" ht="18" customHeight="1">
      <c r="A3" s="1037">
        <v>2019</v>
      </c>
      <c r="B3" s="1037"/>
      <c r="C3" s="1037"/>
      <c r="D3" s="1037"/>
      <c r="E3" s="1037"/>
      <c r="F3" s="1037"/>
      <c r="G3" s="1037"/>
      <c r="H3" s="1037"/>
      <c r="I3" s="57"/>
      <c r="J3" s="57"/>
      <c r="K3" s="57"/>
    </row>
    <row r="4" spans="1:11" ht="15.75">
      <c r="A4" s="1037" t="s">
        <v>52</v>
      </c>
      <c r="B4" s="1037"/>
      <c r="C4" s="1037"/>
      <c r="D4" s="1037"/>
      <c r="E4" s="1037"/>
      <c r="F4" s="1037"/>
      <c r="G4" s="1037"/>
      <c r="H4" s="1037"/>
    </row>
    <row r="5" spans="1:11" ht="15.75">
      <c r="A5" s="361"/>
      <c r="B5" s="361"/>
      <c r="C5" s="361"/>
      <c r="D5" s="361"/>
      <c r="E5" s="361"/>
      <c r="F5" s="361"/>
      <c r="G5" s="361"/>
      <c r="H5" s="361"/>
    </row>
    <row r="6" spans="1:11" s="31" customFormat="1" ht="15.75">
      <c r="A6" s="373" t="s">
        <v>165</v>
      </c>
      <c r="B6" s="374"/>
      <c r="C6" s="374"/>
      <c r="D6" s="374"/>
      <c r="E6" s="374"/>
      <c r="F6" s="374"/>
      <c r="G6" s="374"/>
      <c r="H6" s="375" t="s">
        <v>164</v>
      </c>
    </row>
    <row r="7" spans="1:11" ht="26.25" customHeight="1" thickBot="1">
      <c r="A7" s="1099" t="s">
        <v>143</v>
      </c>
      <c r="B7" s="1087" t="s">
        <v>148</v>
      </c>
      <c r="C7" s="1087"/>
      <c r="D7" s="1087"/>
      <c r="E7" s="1087"/>
      <c r="F7" s="1087"/>
      <c r="G7" s="1087"/>
      <c r="H7" s="1101" t="s">
        <v>142</v>
      </c>
    </row>
    <row r="8" spans="1:11" ht="40.5" customHeight="1">
      <c r="A8" s="1100"/>
      <c r="B8" s="324" t="s">
        <v>606</v>
      </c>
      <c r="C8" s="324">
        <v>1</v>
      </c>
      <c r="D8" s="324">
        <v>2</v>
      </c>
      <c r="E8" s="324">
        <v>3</v>
      </c>
      <c r="F8" s="327" t="s">
        <v>604</v>
      </c>
      <c r="G8" s="512" t="s">
        <v>605</v>
      </c>
      <c r="H8" s="1102"/>
    </row>
    <row r="9" spans="1:11" ht="17.25" customHeight="1" thickBot="1">
      <c r="A9" s="154" t="s">
        <v>437</v>
      </c>
      <c r="B9" s="340">
        <v>8</v>
      </c>
      <c r="C9" s="340">
        <v>0</v>
      </c>
      <c r="D9" s="340">
        <v>0</v>
      </c>
      <c r="E9" s="340">
        <v>0</v>
      </c>
      <c r="F9" s="340">
        <v>0</v>
      </c>
      <c r="G9" s="341">
        <v>8</v>
      </c>
      <c r="H9" s="155" t="s">
        <v>437</v>
      </c>
    </row>
    <row r="10" spans="1:11" ht="17.25" customHeight="1" thickBot="1">
      <c r="A10" s="156" t="s">
        <v>128</v>
      </c>
      <c r="B10" s="342">
        <v>201</v>
      </c>
      <c r="C10" s="342">
        <v>2</v>
      </c>
      <c r="D10" s="342">
        <v>0</v>
      </c>
      <c r="E10" s="342">
        <v>0</v>
      </c>
      <c r="F10" s="342">
        <v>0</v>
      </c>
      <c r="G10" s="341">
        <v>203</v>
      </c>
      <c r="H10" s="157" t="s">
        <v>128</v>
      </c>
    </row>
    <row r="11" spans="1:11" ht="17.25" customHeight="1" thickBot="1">
      <c r="A11" s="156" t="s">
        <v>127</v>
      </c>
      <c r="B11" s="342">
        <v>530</v>
      </c>
      <c r="C11" s="342">
        <v>11</v>
      </c>
      <c r="D11" s="342">
        <v>0</v>
      </c>
      <c r="E11" s="342">
        <v>0</v>
      </c>
      <c r="F11" s="342">
        <v>0</v>
      </c>
      <c r="G11" s="341">
        <v>541</v>
      </c>
      <c r="H11" s="157" t="s">
        <v>127</v>
      </c>
    </row>
    <row r="12" spans="1:11" ht="17.25" customHeight="1" thickBot="1">
      <c r="A12" s="156" t="s">
        <v>126</v>
      </c>
      <c r="B12" s="342">
        <v>353</v>
      </c>
      <c r="C12" s="342">
        <v>26</v>
      </c>
      <c r="D12" s="342">
        <v>1</v>
      </c>
      <c r="E12" s="342">
        <v>0</v>
      </c>
      <c r="F12" s="342">
        <v>0</v>
      </c>
      <c r="G12" s="341">
        <v>380</v>
      </c>
      <c r="H12" s="157" t="s">
        <v>126</v>
      </c>
    </row>
    <row r="13" spans="1:11" ht="17.25" customHeight="1" thickBot="1">
      <c r="A13" s="156" t="s">
        <v>125</v>
      </c>
      <c r="B13" s="342">
        <v>145</v>
      </c>
      <c r="C13" s="342">
        <v>43</v>
      </c>
      <c r="D13" s="342">
        <v>2</v>
      </c>
      <c r="E13" s="342">
        <v>0</v>
      </c>
      <c r="F13" s="342">
        <v>0</v>
      </c>
      <c r="G13" s="341">
        <v>190</v>
      </c>
      <c r="H13" s="157" t="s">
        <v>125</v>
      </c>
    </row>
    <row r="14" spans="1:11" ht="17.25" customHeight="1" thickBot="1">
      <c r="A14" s="156" t="s">
        <v>124</v>
      </c>
      <c r="B14" s="342">
        <v>50</v>
      </c>
      <c r="C14" s="342">
        <v>35</v>
      </c>
      <c r="D14" s="342">
        <v>3</v>
      </c>
      <c r="E14" s="342">
        <v>0</v>
      </c>
      <c r="F14" s="342">
        <v>0</v>
      </c>
      <c r="G14" s="341">
        <v>88</v>
      </c>
      <c r="H14" s="157" t="s">
        <v>124</v>
      </c>
    </row>
    <row r="15" spans="1:11" ht="17.25" customHeight="1" thickBot="1">
      <c r="A15" s="156" t="s">
        <v>123</v>
      </c>
      <c r="B15" s="342">
        <v>25</v>
      </c>
      <c r="C15" s="342">
        <v>26</v>
      </c>
      <c r="D15" s="342">
        <v>3</v>
      </c>
      <c r="E15" s="342">
        <v>1</v>
      </c>
      <c r="F15" s="342">
        <v>0</v>
      </c>
      <c r="G15" s="341">
        <v>55</v>
      </c>
      <c r="H15" s="157" t="s">
        <v>123</v>
      </c>
    </row>
    <row r="16" spans="1:11" ht="17.25" customHeight="1" thickBot="1">
      <c r="A16" s="156" t="s">
        <v>122</v>
      </c>
      <c r="B16" s="342">
        <v>21</v>
      </c>
      <c r="C16" s="342">
        <v>16</v>
      </c>
      <c r="D16" s="342">
        <v>2</v>
      </c>
      <c r="E16" s="342">
        <v>1</v>
      </c>
      <c r="F16" s="342">
        <v>0</v>
      </c>
      <c r="G16" s="341">
        <v>40</v>
      </c>
      <c r="H16" s="157" t="s">
        <v>122</v>
      </c>
    </row>
    <row r="17" spans="1:8" ht="17.25" customHeight="1" thickBot="1">
      <c r="A17" s="156" t="s">
        <v>121</v>
      </c>
      <c r="B17" s="342">
        <v>14</v>
      </c>
      <c r="C17" s="342">
        <v>10</v>
      </c>
      <c r="D17" s="342">
        <v>0</v>
      </c>
      <c r="E17" s="342">
        <v>0</v>
      </c>
      <c r="F17" s="342">
        <v>0</v>
      </c>
      <c r="G17" s="341">
        <v>24</v>
      </c>
      <c r="H17" s="157" t="s">
        <v>121</v>
      </c>
    </row>
    <row r="18" spans="1:8" ht="17.25" customHeight="1" thickBot="1">
      <c r="A18" s="156" t="s">
        <v>120</v>
      </c>
      <c r="B18" s="342">
        <v>4</v>
      </c>
      <c r="C18" s="342">
        <v>5</v>
      </c>
      <c r="D18" s="342">
        <v>0</v>
      </c>
      <c r="E18" s="342">
        <v>0</v>
      </c>
      <c r="F18" s="342">
        <v>0</v>
      </c>
      <c r="G18" s="341">
        <v>9</v>
      </c>
      <c r="H18" s="157" t="s">
        <v>120</v>
      </c>
    </row>
    <row r="19" spans="1:8" ht="17.25" customHeight="1" thickBot="1">
      <c r="A19" s="156" t="s">
        <v>119</v>
      </c>
      <c r="B19" s="342">
        <v>2</v>
      </c>
      <c r="C19" s="342">
        <v>1</v>
      </c>
      <c r="D19" s="342">
        <v>1</v>
      </c>
      <c r="E19" s="342">
        <v>0</v>
      </c>
      <c r="F19" s="342">
        <v>0</v>
      </c>
      <c r="G19" s="341">
        <v>4</v>
      </c>
      <c r="H19" s="157" t="s">
        <v>119</v>
      </c>
    </row>
    <row r="20" spans="1:8" ht="17.25" customHeight="1" thickBot="1">
      <c r="A20" s="156" t="s">
        <v>118</v>
      </c>
      <c r="B20" s="342">
        <v>2</v>
      </c>
      <c r="C20" s="342">
        <v>0</v>
      </c>
      <c r="D20" s="342">
        <v>0</v>
      </c>
      <c r="E20" s="342">
        <v>0</v>
      </c>
      <c r="F20" s="342">
        <v>0</v>
      </c>
      <c r="G20" s="341">
        <v>2</v>
      </c>
      <c r="H20" s="157" t="s">
        <v>118</v>
      </c>
    </row>
    <row r="21" spans="1:8" ht="17.25" customHeight="1" thickBot="1">
      <c r="A21" s="156" t="s">
        <v>117</v>
      </c>
      <c r="B21" s="342">
        <v>0</v>
      </c>
      <c r="C21" s="342">
        <v>0</v>
      </c>
      <c r="D21" s="342">
        <v>0</v>
      </c>
      <c r="E21" s="342">
        <v>0</v>
      </c>
      <c r="F21" s="342">
        <v>0</v>
      </c>
      <c r="G21" s="341">
        <v>0</v>
      </c>
      <c r="H21" s="157" t="s">
        <v>117</v>
      </c>
    </row>
    <row r="22" spans="1:8" ht="17.25" customHeight="1">
      <c r="A22" s="173" t="s">
        <v>15</v>
      </c>
      <c r="B22" s="343">
        <v>0</v>
      </c>
      <c r="C22" s="343">
        <v>0</v>
      </c>
      <c r="D22" s="343">
        <v>0</v>
      </c>
      <c r="E22" s="343">
        <v>0</v>
      </c>
      <c r="F22" s="343">
        <v>0</v>
      </c>
      <c r="G22" s="423">
        <v>0</v>
      </c>
      <c r="H22" s="174" t="s">
        <v>16</v>
      </c>
    </row>
    <row r="23" spans="1:8" ht="21.95" customHeight="1" thickBot="1">
      <c r="A23" s="610" t="s">
        <v>17</v>
      </c>
      <c r="B23" s="611">
        <f>SUBTOTAL(109,Table_Default__XLS_TAB_12_2[NO_WIFE_0])</f>
        <v>1355</v>
      </c>
      <c r="C23" s="611">
        <f>SUBTOTAL(109,Table_Default__XLS_TAB_12_2[NO_WIFE_1])</f>
        <v>175</v>
      </c>
      <c r="D23" s="611">
        <f>SUBTOTAL(109,Table_Default__XLS_TAB_12_2[NO_WIFE_2])</f>
        <v>12</v>
      </c>
      <c r="E23" s="611">
        <f>SUBTOTAL(109,Table_Default__XLS_TAB_12_2[NO_WIFE_3])</f>
        <v>2</v>
      </c>
      <c r="F23" s="612">
        <f>SUBTOTAL(109,Table_Default__XLS_TAB_12_2[NO_WIFE_NOT_STATED])</f>
        <v>0</v>
      </c>
      <c r="G23" s="611">
        <f>SUBTOTAL(109,Table_Default__XLS_TAB_12_2[TOTAL])</f>
        <v>1544</v>
      </c>
      <c r="H23" s="613" t="s">
        <v>56</v>
      </c>
    </row>
    <row r="24" spans="1:8" ht="19.5" customHeight="1">
      <c r="A24" s="486" t="s">
        <v>146</v>
      </c>
      <c r="B24" s="487">
        <f>B23/$G$23%</f>
        <v>87.759067357512961</v>
      </c>
      <c r="C24" s="487">
        <f>C23/$G$23%</f>
        <v>11.334196891191711</v>
      </c>
      <c r="D24" s="487">
        <f>D23/$G$23%</f>
        <v>0.77720207253886009</v>
      </c>
      <c r="E24" s="487">
        <f>E23/$G$23%</f>
        <v>0.1295336787564767</v>
      </c>
      <c r="F24" s="487">
        <f>F23/$G$23%</f>
        <v>0</v>
      </c>
      <c r="G24" s="487">
        <f>SUM(B24:F24)</f>
        <v>100</v>
      </c>
      <c r="H24" s="499" t="s">
        <v>20</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24"/>
  <sheetViews>
    <sheetView rightToLeft="1" view="pageBreakPreview" topLeftCell="A4" zoomScaleNormal="100" zoomScaleSheetLayoutView="100" workbookViewId="0">
      <selection activeCell="M18" sqref="M18"/>
    </sheetView>
  </sheetViews>
  <sheetFormatPr defaultColWidth="9.140625" defaultRowHeight="12.75"/>
  <cols>
    <col min="1" max="1" width="25.42578125" style="2" customWidth="1"/>
    <col min="2" max="4" width="13.5703125" style="2" customWidth="1"/>
    <col min="5" max="5" width="11.140625" style="2" customWidth="1"/>
    <col min="6" max="7" width="13.42578125" style="2" customWidth="1"/>
    <col min="8" max="8" width="26.5703125" style="2" customWidth="1"/>
    <col min="9" max="16384" width="9.140625" style="2"/>
  </cols>
  <sheetData>
    <row r="1" spans="1:11" ht="21.75" customHeight="1">
      <c r="A1" s="1009" t="s">
        <v>152</v>
      </c>
      <c r="B1" s="1009"/>
      <c r="C1" s="1110"/>
      <c r="D1" s="1009"/>
      <c r="E1" s="1009"/>
      <c r="F1" s="1009"/>
      <c r="G1" s="1009"/>
      <c r="H1" s="1009"/>
    </row>
    <row r="2" spans="1:11" ht="15.75">
      <c r="A2" s="1036" t="s">
        <v>151</v>
      </c>
      <c r="B2" s="1036"/>
      <c r="C2" s="1036"/>
      <c r="D2" s="1036"/>
      <c r="E2" s="1036"/>
      <c r="F2" s="1036"/>
      <c r="G2" s="1036"/>
      <c r="H2" s="1036"/>
    </row>
    <row r="3" spans="1:11" ht="18" customHeight="1">
      <c r="A3" s="1037">
        <v>2019</v>
      </c>
      <c r="B3" s="1037"/>
      <c r="C3" s="1037"/>
      <c r="D3" s="1037"/>
      <c r="E3" s="1037"/>
      <c r="F3" s="1037"/>
      <c r="G3" s="1037"/>
      <c r="H3" s="1037"/>
      <c r="I3" s="57"/>
      <c r="J3" s="57"/>
      <c r="K3" s="57"/>
    </row>
    <row r="4" spans="1:11" ht="15.75">
      <c r="A4" s="1037" t="s">
        <v>1</v>
      </c>
      <c r="B4" s="1037"/>
      <c r="C4" s="1037"/>
      <c r="D4" s="1037"/>
      <c r="E4" s="1037"/>
      <c r="F4" s="1037"/>
      <c r="G4" s="1037"/>
      <c r="H4" s="1037"/>
    </row>
    <row r="5" spans="1:11" ht="15.75">
      <c r="A5" s="361"/>
      <c r="B5" s="361"/>
      <c r="C5" s="361"/>
      <c r="D5" s="361"/>
      <c r="E5" s="361"/>
      <c r="F5" s="361"/>
      <c r="G5" s="361"/>
      <c r="H5" s="361"/>
    </row>
    <row r="6" spans="1:11" s="31" customFormat="1" ht="15.75">
      <c r="A6" s="373" t="s">
        <v>167</v>
      </c>
      <c r="B6" s="374"/>
      <c r="C6" s="374"/>
      <c r="D6" s="374"/>
      <c r="E6" s="374"/>
      <c r="F6" s="374"/>
      <c r="G6" s="374"/>
      <c r="H6" s="375" t="s">
        <v>166</v>
      </c>
    </row>
    <row r="7" spans="1:11" ht="26.25" customHeight="1" thickBot="1">
      <c r="A7" s="1099" t="s">
        <v>143</v>
      </c>
      <c r="B7" s="1087" t="s">
        <v>148</v>
      </c>
      <c r="C7" s="1087"/>
      <c r="D7" s="1087"/>
      <c r="E7" s="1087"/>
      <c r="F7" s="1087"/>
      <c r="G7" s="1087"/>
      <c r="H7" s="1101" t="s">
        <v>142</v>
      </c>
    </row>
    <row r="8" spans="1:11" ht="40.5" customHeight="1">
      <c r="A8" s="1100"/>
      <c r="B8" s="324" t="s">
        <v>606</v>
      </c>
      <c r="C8" s="324">
        <v>1</v>
      </c>
      <c r="D8" s="324">
        <v>2</v>
      </c>
      <c r="E8" s="324">
        <v>3</v>
      </c>
      <c r="F8" s="327" t="s">
        <v>604</v>
      </c>
      <c r="G8" s="512" t="s">
        <v>605</v>
      </c>
      <c r="H8" s="1102"/>
    </row>
    <row r="9" spans="1:11" ht="17.25" customHeight="1" thickBot="1">
      <c r="A9" s="170" t="s">
        <v>437</v>
      </c>
      <c r="B9" s="344">
        <v>37</v>
      </c>
      <c r="C9" s="344">
        <v>0</v>
      </c>
      <c r="D9" s="344">
        <v>0</v>
      </c>
      <c r="E9" s="344">
        <v>0</v>
      </c>
      <c r="F9" s="344">
        <v>0</v>
      </c>
      <c r="G9" s="478">
        <v>37</v>
      </c>
      <c r="H9" s="171" t="s">
        <v>437</v>
      </c>
    </row>
    <row r="10" spans="1:11" ht="17.25" customHeight="1" thickBot="1">
      <c r="A10" s="156" t="s">
        <v>128</v>
      </c>
      <c r="B10" s="342">
        <v>774</v>
      </c>
      <c r="C10" s="342">
        <v>3</v>
      </c>
      <c r="D10" s="342">
        <v>0</v>
      </c>
      <c r="E10" s="342">
        <v>0</v>
      </c>
      <c r="F10" s="342">
        <v>0</v>
      </c>
      <c r="G10" s="478">
        <v>777</v>
      </c>
      <c r="H10" s="157" t="s">
        <v>128</v>
      </c>
    </row>
    <row r="11" spans="1:11" ht="17.25" customHeight="1" thickBot="1">
      <c r="A11" s="156" t="s">
        <v>127</v>
      </c>
      <c r="B11" s="342">
        <v>1329</v>
      </c>
      <c r="C11" s="342">
        <v>22</v>
      </c>
      <c r="D11" s="342">
        <v>0</v>
      </c>
      <c r="E11" s="342">
        <v>0</v>
      </c>
      <c r="F11" s="342">
        <v>0</v>
      </c>
      <c r="G11" s="478">
        <v>1351</v>
      </c>
      <c r="H11" s="157" t="s">
        <v>127</v>
      </c>
    </row>
    <row r="12" spans="1:11" ht="17.25" customHeight="1" thickBot="1">
      <c r="A12" s="156" t="s">
        <v>126</v>
      </c>
      <c r="B12" s="342">
        <v>658</v>
      </c>
      <c r="C12" s="342">
        <v>50</v>
      </c>
      <c r="D12" s="342">
        <v>2</v>
      </c>
      <c r="E12" s="342">
        <v>0</v>
      </c>
      <c r="F12" s="342">
        <v>0</v>
      </c>
      <c r="G12" s="478">
        <v>710</v>
      </c>
      <c r="H12" s="157" t="s">
        <v>126</v>
      </c>
    </row>
    <row r="13" spans="1:11" ht="17.25" customHeight="1" thickBot="1">
      <c r="A13" s="156" t="s">
        <v>125</v>
      </c>
      <c r="B13" s="342">
        <v>229</v>
      </c>
      <c r="C13" s="342">
        <v>76</v>
      </c>
      <c r="D13" s="342">
        <v>3</v>
      </c>
      <c r="E13" s="342">
        <v>0</v>
      </c>
      <c r="F13" s="342">
        <v>0</v>
      </c>
      <c r="G13" s="478">
        <v>308</v>
      </c>
      <c r="H13" s="157" t="s">
        <v>125</v>
      </c>
    </row>
    <row r="14" spans="1:11" ht="17.25" customHeight="1" thickBot="1">
      <c r="A14" s="156" t="s">
        <v>124</v>
      </c>
      <c r="B14" s="342">
        <v>109</v>
      </c>
      <c r="C14" s="342">
        <v>62</v>
      </c>
      <c r="D14" s="342">
        <v>3</v>
      </c>
      <c r="E14" s="342">
        <v>0</v>
      </c>
      <c r="F14" s="342">
        <v>0</v>
      </c>
      <c r="G14" s="478">
        <v>174</v>
      </c>
      <c r="H14" s="157" t="s">
        <v>124</v>
      </c>
    </row>
    <row r="15" spans="1:11" ht="17.25" customHeight="1" thickBot="1">
      <c r="A15" s="156" t="s">
        <v>123</v>
      </c>
      <c r="B15" s="342">
        <v>63</v>
      </c>
      <c r="C15" s="342">
        <v>42</v>
      </c>
      <c r="D15" s="342">
        <v>6</v>
      </c>
      <c r="E15" s="342">
        <v>1</v>
      </c>
      <c r="F15" s="342">
        <v>0</v>
      </c>
      <c r="G15" s="478">
        <v>112</v>
      </c>
      <c r="H15" s="157" t="s">
        <v>123</v>
      </c>
    </row>
    <row r="16" spans="1:11" ht="17.25" customHeight="1" thickBot="1">
      <c r="A16" s="156" t="s">
        <v>122</v>
      </c>
      <c r="B16" s="342">
        <v>41</v>
      </c>
      <c r="C16" s="342">
        <v>36</v>
      </c>
      <c r="D16" s="342">
        <v>2</v>
      </c>
      <c r="E16" s="342">
        <v>2</v>
      </c>
      <c r="F16" s="342">
        <v>0</v>
      </c>
      <c r="G16" s="478">
        <v>81</v>
      </c>
      <c r="H16" s="157" t="s">
        <v>122</v>
      </c>
    </row>
    <row r="17" spans="1:8" ht="17.25" customHeight="1" thickBot="1">
      <c r="A17" s="156" t="s">
        <v>121</v>
      </c>
      <c r="B17" s="342">
        <v>21</v>
      </c>
      <c r="C17" s="342">
        <v>17</v>
      </c>
      <c r="D17" s="342">
        <v>0</v>
      </c>
      <c r="E17" s="342">
        <v>0</v>
      </c>
      <c r="F17" s="342">
        <v>0</v>
      </c>
      <c r="G17" s="478">
        <v>38</v>
      </c>
      <c r="H17" s="157" t="s">
        <v>121</v>
      </c>
    </row>
    <row r="18" spans="1:8" ht="17.25" customHeight="1" thickBot="1">
      <c r="A18" s="156" t="s">
        <v>120</v>
      </c>
      <c r="B18" s="342">
        <v>9</v>
      </c>
      <c r="C18" s="342">
        <v>10</v>
      </c>
      <c r="D18" s="342">
        <v>0</v>
      </c>
      <c r="E18" s="342">
        <v>0</v>
      </c>
      <c r="F18" s="342">
        <v>0</v>
      </c>
      <c r="G18" s="478">
        <v>19</v>
      </c>
      <c r="H18" s="157" t="s">
        <v>120</v>
      </c>
    </row>
    <row r="19" spans="1:8" ht="17.25" customHeight="1" thickBot="1">
      <c r="A19" s="156" t="s">
        <v>119</v>
      </c>
      <c r="B19" s="342">
        <v>5</v>
      </c>
      <c r="C19" s="342">
        <v>2</v>
      </c>
      <c r="D19" s="342">
        <v>1</v>
      </c>
      <c r="E19" s="342">
        <v>0</v>
      </c>
      <c r="F19" s="342">
        <v>0</v>
      </c>
      <c r="G19" s="478">
        <v>8</v>
      </c>
      <c r="H19" s="157" t="s">
        <v>119</v>
      </c>
    </row>
    <row r="20" spans="1:8" ht="17.25" customHeight="1" thickBot="1">
      <c r="A20" s="156" t="s">
        <v>118</v>
      </c>
      <c r="B20" s="342">
        <v>4</v>
      </c>
      <c r="C20" s="342">
        <v>1</v>
      </c>
      <c r="D20" s="342">
        <v>0</v>
      </c>
      <c r="E20" s="342">
        <v>0</v>
      </c>
      <c r="F20" s="342">
        <v>0</v>
      </c>
      <c r="G20" s="478">
        <v>5</v>
      </c>
      <c r="H20" s="157" t="s">
        <v>118</v>
      </c>
    </row>
    <row r="21" spans="1:8" ht="17.25" customHeight="1" thickBot="1">
      <c r="A21" s="156" t="s">
        <v>117</v>
      </c>
      <c r="B21" s="342">
        <v>0</v>
      </c>
      <c r="C21" s="342">
        <v>1</v>
      </c>
      <c r="D21" s="342">
        <v>0</v>
      </c>
      <c r="E21" s="342">
        <v>0</v>
      </c>
      <c r="F21" s="342">
        <v>0</v>
      </c>
      <c r="G21" s="478">
        <v>1</v>
      </c>
      <c r="H21" s="157" t="s">
        <v>117</v>
      </c>
    </row>
    <row r="22" spans="1:8" ht="17.25" customHeight="1">
      <c r="A22" s="173" t="s">
        <v>15</v>
      </c>
      <c r="B22" s="343">
        <v>0</v>
      </c>
      <c r="C22" s="343">
        <v>0</v>
      </c>
      <c r="D22" s="343">
        <v>0</v>
      </c>
      <c r="E22" s="343">
        <v>0</v>
      </c>
      <c r="F22" s="343">
        <v>0</v>
      </c>
      <c r="G22" s="479">
        <v>0</v>
      </c>
      <c r="H22" s="174" t="s">
        <v>16</v>
      </c>
    </row>
    <row r="23" spans="1:8" ht="21.95" customHeight="1" thickBot="1">
      <c r="A23" s="610" t="s">
        <v>17</v>
      </c>
      <c r="B23" s="611">
        <f>SUBTOTAL(109,Table_Default__XLS_TAB_12_3[NO_WIFE_0])</f>
        <v>3279</v>
      </c>
      <c r="C23" s="611">
        <f>SUBTOTAL(109,Table_Default__XLS_TAB_12_3[NO_WIFE_1])</f>
        <v>322</v>
      </c>
      <c r="D23" s="611">
        <f>SUBTOTAL(109,Table_Default__XLS_TAB_12_3[NO_WIFE_2])</f>
        <v>17</v>
      </c>
      <c r="E23" s="611">
        <f>SUBTOTAL(109,Table_Default__XLS_TAB_12_3[NO_WIFE_3])</f>
        <v>3</v>
      </c>
      <c r="F23" s="612">
        <f>SUBTOTAL(109,Table_Default__XLS_TAB_12_3[NO_WIFE_NOT_STATED])</f>
        <v>0</v>
      </c>
      <c r="G23" s="611">
        <f>SUBTOTAL(109,Table_Default__XLS_TAB_12_3[TOTAL])</f>
        <v>3621</v>
      </c>
      <c r="H23" s="613" t="s">
        <v>56</v>
      </c>
    </row>
    <row r="24" spans="1:8" ht="19.5" customHeight="1">
      <c r="A24" s="100" t="s">
        <v>146</v>
      </c>
      <c r="B24" s="487">
        <f>B23/$G$23%</f>
        <v>90.555095277547636</v>
      </c>
      <c r="C24" s="487">
        <f>C23/$G$23%</f>
        <v>8.8925711129522238</v>
      </c>
      <c r="D24" s="487">
        <f>D23/$G$23%</f>
        <v>0.46948356807511737</v>
      </c>
      <c r="E24" s="487">
        <f>E23/$G$23%</f>
        <v>8.2850041425020712E-2</v>
      </c>
      <c r="F24" s="487">
        <f>F23/$G$23%</f>
        <v>0</v>
      </c>
      <c r="G24" s="487">
        <f>SUM(B24:F24)</f>
        <v>100</v>
      </c>
      <c r="H24" s="500" t="s">
        <v>20</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24"/>
  <sheetViews>
    <sheetView rightToLeft="1" view="pageBreakPreview" topLeftCell="A4" zoomScaleNormal="100" zoomScaleSheetLayoutView="100" workbookViewId="0">
      <selection activeCell="D19" sqref="D19"/>
    </sheetView>
  </sheetViews>
  <sheetFormatPr defaultColWidth="9.140625" defaultRowHeight="12.75"/>
  <cols>
    <col min="1" max="1" width="26.5703125" style="1" customWidth="1"/>
    <col min="2" max="2" width="16" style="1" customWidth="1"/>
    <col min="3" max="3" width="11.5703125" style="1" customWidth="1"/>
    <col min="4" max="4" width="12.85546875" style="1" customWidth="1"/>
    <col min="5" max="5" width="12.5703125" style="1" customWidth="1"/>
    <col min="6" max="7" width="13.42578125" style="1" customWidth="1"/>
    <col min="8" max="8" width="26.5703125" style="1" customWidth="1"/>
    <col min="9" max="16384" width="9.140625" style="1"/>
  </cols>
  <sheetData>
    <row r="1" spans="1:12" s="2" customFormat="1" ht="21.75" customHeight="1">
      <c r="A1" s="1009" t="s">
        <v>163</v>
      </c>
      <c r="B1" s="1009"/>
      <c r="C1" s="1110"/>
      <c r="D1" s="1009"/>
      <c r="E1" s="1009"/>
      <c r="F1" s="1009"/>
      <c r="G1" s="1009"/>
      <c r="H1" s="1009"/>
    </row>
    <row r="2" spans="1:12" s="2" customFormat="1" ht="15.75">
      <c r="A2" s="1036" t="s">
        <v>162</v>
      </c>
      <c r="B2" s="1036"/>
      <c r="C2" s="1036"/>
      <c r="D2" s="1036"/>
      <c r="E2" s="1036"/>
      <c r="F2" s="1036"/>
      <c r="G2" s="1036"/>
      <c r="H2" s="1036"/>
    </row>
    <row r="3" spans="1:12" s="2" customFormat="1" ht="18" customHeight="1">
      <c r="A3" s="1037">
        <v>2019</v>
      </c>
      <c r="B3" s="1037"/>
      <c r="C3" s="1037"/>
      <c r="D3" s="1037"/>
      <c r="E3" s="1037"/>
      <c r="F3" s="1037"/>
      <c r="G3" s="1037"/>
      <c r="H3" s="1037"/>
      <c r="I3" s="57"/>
      <c r="J3" s="57"/>
      <c r="K3" s="57"/>
      <c r="L3" s="57"/>
    </row>
    <row r="4" spans="1:12" s="2" customFormat="1" ht="15.75">
      <c r="A4" s="1037" t="s">
        <v>53</v>
      </c>
      <c r="B4" s="1037"/>
      <c r="C4" s="1037"/>
      <c r="D4" s="1037"/>
      <c r="E4" s="1037"/>
      <c r="F4" s="1037"/>
      <c r="G4" s="1037"/>
      <c r="H4" s="1037"/>
    </row>
    <row r="5" spans="1:12" s="2" customFormat="1" ht="15.75">
      <c r="A5" s="361"/>
      <c r="B5" s="361"/>
      <c r="C5" s="361"/>
      <c r="D5" s="361"/>
      <c r="E5" s="361"/>
      <c r="F5" s="361"/>
      <c r="G5" s="361"/>
      <c r="H5" s="361"/>
    </row>
    <row r="6" spans="1:12" s="31" customFormat="1" ht="15.75">
      <c r="A6" s="373" t="s">
        <v>171</v>
      </c>
      <c r="B6" s="374"/>
      <c r="C6" s="374"/>
      <c r="D6" s="374"/>
      <c r="E6" s="374"/>
      <c r="F6" s="374"/>
      <c r="G6" s="374"/>
      <c r="H6" s="375" t="s">
        <v>170</v>
      </c>
    </row>
    <row r="7" spans="1:12" ht="26.25" customHeight="1" thickBot="1">
      <c r="A7" s="1099" t="s">
        <v>159</v>
      </c>
      <c r="B7" s="1087" t="s">
        <v>158</v>
      </c>
      <c r="C7" s="1087"/>
      <c r="D7" s="1087"/>
      <c r="E7" s="1087"/>
      <c r="F7" s="1087"/>
      <c r="G7" s="1087"/>
      <c r="H7" s="1106" t="s">
        <v>157</v>
      </c>
    </row>
    <row r="8" spans="1:12" ht="44.25" customHeight="1">
      <c r="A8" s="1100"/>
      <c r="B8" s="324" t="s">
        <v>607</v>
      </c>
      <c r="C8" s="324" t="s">
        <v>608</v>
      </c>
      <c r="D8" s="324" t="s">
        <v>609</v>
      </c>
      <c r="E8" s="324" t="s">
        <v>610</v>
      </c>
      <c r="F8" s="324" t="s">
        <v>611</v>
      </c>
      <c r="G8" s="325" t="s">
        <v>605</v>
      </c>
      <c r="H8" s="1107"/>
    </row>
    <row r="9" spans="1:12" ht="16.5" thickBot="1">
      <c r="A9" s="175" t="s">
        <v>437</v>
      </c>
      <c r="B9" s="344">
        <v>29</v>
      </c>
      <c r="C9" s="344">
        <v>0</v>
      </c>
      <c r="D9" s="344">
        <v>0</v>
      </c>
      <c r="E9" s="344">
        <v>0</v>
      </c>
      <c r="F9" s="344">
        <v>0</v>
      </c>
      <c r="G9" s="478">
        <f>SUM(Table_Default__XLS_TAB_13_1[[#This Row],[NEVER_MARR]:[NOT_STATED]])</f>
        <v>29</v>
      </c>
      <c r="H9" s="176" t="s">
        <v>437</v>
      </c>
    </row>
    <row r="10" spans="1:12" ht="16.5" thickBot="1">
      <c r="A10" s="166" t="s">
        <v>128</v>
      </c>
      <c r="B10" s="342">
        <v>546</v>
      </c>
      <c r="C10" s="342">
        <v>1</v>
      </c>
      <c r="D10" s="342">
        <v>27</v>
      </c>
      <c r="E10" s="342">
        <v>0</v>
      </c>
      <c r="F10" s="342">
        <v>0</v>
      </c>
      <c r="G10" s="478">
        <f>SUM(Table_Default__XLS_TAB_13_1[[#This Row],[NEVER_MARR]:[NOT_STATED]])</f>
        <v>574</v>
      </c>
      <c r="H10" s="167" t="s">
        <v>128</v>
      </c>
    </row>
    <row r="11" spans="1:12" ht="16.5" thickBot="1">
      <c r="A11" s="166" t="s">
        <v>127</v>
      </c>
      <c r="B11" s="342">
        <v>679</v>
      </c>
      <c r="C11" s="342">
        <v>11</v>
      </c>
      <c r="D11" s="342">
        <v>119</v>
      </c>
      <c r="E11" s="342">
        <v>1</v>
      </c>
      <c r="F11" s="342">
        <v>0</v>
      </c>
      <c r="G11" s="478">
        <f>SUM(Table_Default__XLS_TAB_13_1[[#This Row],[NEVER_MARR]:[NOT_STATED]])</f>
        <v>810</v>
      </c>
      <c r="H11" s="167" t="s">
        <v>127</v>
      </c>
    </row>
    <row r="12" spans="1:12" ht="16.5" thickBot="1">
      <c r="A12" s="166" t="s">
        <v>126</v>
      </c>
      <c r="B12" s="342">
        <v>193</v>
      </c>
      <c r="C12" s="342">
        <v>25</v>
      </c>
      <c r="D12" s="342">
        <v>112</v>
      </c>
      <c r="E12" s="342">
        <v>0</v>
      </c>
      <c r="F12" s="342">
        <v>0</v>
      </c>
      <c r="G12" s="478">
        <f>SUM(Table_Default__XLS_TAB_13_1[[#This Row],[NEVER_MARR]:[NOT_STATED]])</f>
        <v>330</v>
      </c>
      <c r="H12" s="167" t="s">
        <v>126</v>
      </c>
    </row>
    <row r="13" spans="1:12" ht="16.5" thickBot="1">
      <c r="A13" s="166" t="s">
        <v>125</v>
      </c>
      <c r="B13" s="342">
        <v>35</v>
      </c>
      <c r="C13" s="342">
        <v>34</v>
      </c>
      <c r="D13" s="342">
        <v>48</v>
      </c>
      <c r="E13" s="342">
        <v>1</v>
      </c>
      <c r="F13" s="342">
        <v>0</v>
      </c>
      <c r="G13" s="478">
        <f>SUM(Table_Default__XLS_TAB_13_1[[#This Row],[NEVER_MARR]:[NOT_STATED]])</f>
        <v>118</v>
      </c>
      <c r="H13" s="167" t="s">
        <v>125</v>
      </c>
    </row>
    <row r="14" spans="1:12" ht="16.5" thickBot="1">
      <c r="A14" s="166" t="s">
        <v>124</v>
      </c>
      <c r="B14" s="342">
        <v>16</v>
      </c>
      <c r="C14" s="342">
        <v>27</v>
      </c>
      <c r="D14" s="342">
        <v>42</v>
      </c>
      <c r="E14" s="342">
        <v>1</v>
      </c>
      <c r="F14" s="342">
        <v>0</v>
      </c>
      <c r="G14" s="478">
        <f>SUM(Table_Default__XLS_TAB_13_1[[#This Row],[NEVER_MARR]:[NOT_STATED]])</f>
        <v>86</v>
      </c>
      <c r="H14" s="167" t="s">
        <v>124</v>
      </c>
    </row>
    <row r="15" spans="1:12" ht="16.5" thickBot="1">
      <c r="A15" s="166" t="s">
        <v>123</v>
      </c>
      <c r="B15" s="342">
        <v>13</v>
      </c>
      <c r="C15" s="342">
        <v>19</v>
      </c>
      <c r="D15" s="342">
        <v>23</v>
      </c>
      <c r="E15" s="342">
        <v>2</v>
      </c>
      <c r="F15" s="342">
        <v>0</v>
      </c>
      <c r="G15" s="478">
        <f>SUM(Table_Default__XLS_TAB_13_1[[#This Row],[NEVER_MARR]:[NOT_STATED]])</f>
        <v>57</v>
      </c>
      <c r="H15" s="167" t="s">
        <v>123</v>
      </c>
    </row>
    <row r="16" spans="1:12" ht="16.5" thickBot="1">
      <c r="A16" s="166" t="s">
        <v>122</v>
      </c>
      <c r="B16" s="342">
        <v>8</v>
      </c>
      <c r="C16" s="342">
        <v>21</v>
      </c>
      <c r="D16" s="342">
        <v>12</v>
      </c>
      <c r="E16" s="342">
        <v>0</v>
      </c>
      <c r="F16" s="342">
        <v>0</v>
      </c>
      <c r="G16" s="478">
        <f>SUM(Table_Default__XLS_TAB_13_1[[#This Row],[NEVER_MARR]:[NOT_STATED]])</f>
        <v>41</v>
      </c>
      <c r="H16" s="167" t="s">
        <v>122</v>
      </c>
    </row>
    <row r="17" spans="1:8" ht="16.5" thickBot="1">
      <c r="A17" s="166" t="s">
        <v>121</v>
      </c>
      <c r="B17" s="342">
        <v>3</v>
      </c>
      <c r="C17" s="342">
        <v>7</v>
      </c>
      <c r="D17" s="342">
        <v>4</v>
      </c>
      <c r="E17" s="342">
        <v>0</v>
      </c>
      <c r="F17" s="342">
        <v>0</v>
      </c>
      <c r="G17" s="478">
        <f>SUM(Table_Default__XLS_TAB_13_1[[#This Row],[NEVER_MARR]:[NOT_STATED]])</f>
        <v>14</v>
      </c>
      <c r="H17" s="167" t="s">
        <v>121</v>
      </c>
    </row>
    <row r="18" spans="1:8" ht="16.5" thickBot="1">
      <c r="A18" s="166" t="s">
        <v>120</v>
      </c>
      <c r="B18" s="342">
        <v>0</v>
      </c>
      <c r="C18" s="342">
        <v>5</v>
      </c>
      <c r="D18" s="342">
        <v>4</v>
      </c>
      <c r="E18" s="342">
        <v>1</v>
      </c>
      <c r="F18" s="342">
        <v>0</v>
      </c>
      <c r="G18" s="478">
        <f>SUM(Table_Default__XLS_TAB_13_1[[#This Row],[NEVER_MARR]:[NOT_STATED]])</f>
        <v>10</v>
      </c>
      <c r="H18" s="167" t="s">
        <v>120</v>
      </c>
    </row>
    <row r="19" spans="1:8" ht="16.5" thickBot="1">
      <c r="A19" s="166" t="s">
        <v>119</v>
      </c>
      <c r="B19" s="342">
        <v>0</v>
      </c>
      <c r="C19" s="342">
        <v>1</v>
      </c>
      <c r="D19" s="342">
        <v>3</v>
      </c>
      <c r="E19" s="342">
        <v>0</v>
      </c>
      <c r="F19" s="342">
        <v>0</v>
      </c>
      <c r="G19" s="478">
        <f>SUM(Table_Default__XLS_TAB_13_1[[#This Row],[NEVER_MARR]:[NOT_STATED]])</f>
        <v>4</v>
      </c>
      <c r="H19" s="167" t="s">
        <v>119</v>
      </c>
    </row>
    <row r="20" spans="1:8" ht="16.5" thickBot="1">
      <c r="A20" s="166" t="s">
        <v>118</v>
      </c>
      <c r="B20" s="342">
        <v>0</v>
      </c>
      <c r="C20" s="342">
        <v>1</v>
      </c>
      <c r="D20" s="342">
        <v>1</v>
      </c>
      <c r="E20" s="342">
        <v>1</v>
      </c>
      <c r="F20" s="342">
        <v>0</v>
      </c>
      <c r="G20" s="478">
        <f>SUM(Table_Default__XLS_TAB_13_1[[#This Row],[NEVER_MARR]:[NOT_STATED]])</f>
        <v>3</v>
      </c>
      <c r="H20" s="167" t="s">
        <v>118</v>
      </c>
    </row>
    <row r="21" spans="1:8" ht="16.5" thickBot="1">
      <c r="A21" s="166" t="s">
        <v>117</v>
      </c>
      <c r="B21" s="342">
        <v>0</v>
      </c>
      <c r="C21" s="342">
        <v>1</v>
      </c>
      <c r="D21" s="342">
        <v>0</v>
      </c>
      <c r="E21" s="342">
        <v>0</v>
      </c>
      <c r="F21" s="342">
        <v>0</v>
      </c>
      <c r="G21" s="478">
        <f>SUM(Table_Default__XLS_TAB_13_1[[#This Row],[NEVER_MARR]:[NOT_STATED]])</f>
        <v>1</v>
      </c>
      <c r="H21" s="167" t="s">
        <v>117</v>
      </c>
    </row>
    <row r="22" spans="1:8" ht="15.75">
      <c r="A22" s="168" t="s">
        <v>15</v>
      </c>
      <c r="B22" s="343">
        <v>0</v>
      </c>
      <c r="C22" s="343">
        <v>0</v>
      </c>
      <c r="D22" s="343">
        <v>0</v>
      </c>
      <c r="E22" s="343">
        <v>0</v>
      </c>
      <c r="F22" s="343">
        <v>0</v>
      </c>
      <c r="G22" s="479">
        <f>SUM(Table_Default__XLS_TAB_13_1[[#This Row],[NEVER_MARR]:[NOT_STATED]])</f>
        <v>0</v>
      </c>
      <c r="H22" s="169" t="s">
        <v>16</v>
      </c>
    </row>
    <row r="23" spans="1:8" ht="21.95" customHeight="1" thickBot="1">
      <c r="A23" s="948" t="s">
        <v>17</v>
      </c>
      <c r="B23" s="949">
        <f>SUBTOTAL(109,Table_Default__XLS_TAB_13_1[NEVER_MARR])</f>
        <v>1522</v>
      </c>
      <c r="C23" s="949">
        <f>SUBTOTAL(109,Table_Default__XLS_TAB_13_1[MARRIED])</f>
        <v>153</v>
      </c>
      <c r="D23" s="949">
        <f>SUBTOTAL(109,Table_Default__XLS_TAB_13_1[DIVORCES])</f>
        <v>395</v>
      </c>
      <c r="E23" s="949">
        <f>SUBTOTAL(109,Table_Default__XLS_TAB_13_1[WIDOWED])</f>
        <v>7</v>
      </c>
      <c r="F23" s="950">
        <f>SUBTOTAL(109,Table_Default__XLS_TAB_13_1[NOT_STATED])</f>
        <v>0</v>
      </c>
      <c r="G23" s="949">
        <f>SUBTOTAL(109,Table_Default__XLS_TAB_13_1[TOTAL])</f>
        <v>2077</v>
      </c>
      <c r="H23" s="951" t="s">
        <v>56</v>
      </c>
    </row>
    <row r="24" spans="1:8" ht="19.5" customHeight="1">
      <c r="A24" s="501" t="s">
        <v>146</v>
      </c>
      <c r="B24" s="502">
        <f>B23/$G$23%</f>
        <v>73.278767453057299</v>
      </c>
      <c r="C24" s="502">
        <f>C23/$G$23%</f>
        <v>7.3663938372652868</v>
      </c>
      <c r="D24" s="502">
        <f>D23/$G$23%</f>
        <v>19.017814155031296</v>
      </c>
      <c r="E24" s="502">
        <f>E23/$G$23%</f>
        <v>0.33702455464612424</v>
      </c>
      <c r="F24" s="502">
        <f>F23/$G$23%</f>
        <v>0</v>
      </c>
      <c r="G24" s="502">
        <f>SUM(B24:F24)</f>
        <v>100</v>
      </c>
      <c r="H24" s="915" t="s">
        <v>20</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24"/>
  <sheetViews>
    <sheetView rightToLeft="1" view="pageBreakPreview" topLeftCell="A4" zoomScaleNormal="100" zoomScaleSheetLayoutView="100" workbookViewId="0">
      <selection activeCell="G9" sqref="G9:G22"/>
    </sheetView>
  </sheetViews>
  <sheetFormatPr defaultColWidth="9.140625" defaultRowHeight="12.75"/>
  <cols>
    <col min="1" max="1" width="26.5703125" style="1" customWidth="1"/>
    <col min="2" max="2" width="16" style="1" customWidth="1"/>
    <col min="3" max="3" width="11.5703125" style="1" customWidth="1"/>
    <col min="4" max="4" width="12.85546875" style="1" customWidth="1"/>
    <col min="5" max="5" width="12.5703125" style="1" customWidth="1"/>
    <col min="6" max="7" width="13.42578125" style="1" customWidth="1"/>
    <col min="8" max="8" width="26.5703125" style="1" customWidth="1"/>
    <col min="9" max="16384" width="9.140625" style="1"/>
  </cols>
  <sheetData>
    <row r="1" spans="1:12" s="2" customFormat="1" ht="21.75" customHeight="1">
      <c r="A1" s="1009" t="s">
        <v>163</v>
      </c>
      <c r="B1" s="1009"/>
      <c r="C1" s="1110"/>
      <c r="D1" s="1009"/>
      <c r="E1" s="1009"/>
      <c r="F1" s="1009"/>
      <c r="G1" s="1009"/>
      <c r="H1" s="1009"/>
    </row>
    <row r="2" spans="1:12" s="2" customFormat="1" ht="15.75">
      <c r="A2" s="1036" t="s">
        <v>162</v>
      </c>
      <c r="B2" s="1036"/>
      <c r="C2" s="1036"/>
      <c r="D2" s="1036"/>
      <c r="E2" s="1036"/>
      <c r="F2" s="1036"/>
      <c r="G2" s="1036"/>
      <c r="H2" s="1036"/>
    </row>
    <row r="3" spans="1:12" s="2" customFormat="1" ht="18" customHeight="1">
      <c r="A3" s="1037">
        <v>2019</v>
      </c>
      <c r="B3" s="1037"/>
      <c r="C3" s="1037"/>
      <c r="D3" s="1037"/>
      <c r="E3" s="1037"/>
      <c r="F3" s="1037"/>
      <c r="G3" s="1037"/>
      <c r="H3" s="1037"/>
      <c r="I3" s="57"/>
      <c r="J3" s="57"/>
      <c r="K3" s="57"/>
      <c r="L3" s="57"/>
    </row>
    <row r="4" spans="1:12" s="2" customFormat="1" ht="15.75">
      <c r="A4" s="1037" t="s">
        <v>52</v>
      </c>
      <c r="B4" s="1037"/>
      <c r="C4" s="1037"/>
      <c r="D4" s="1037"/>
      <c r="E4" s="1037"/>
      <c r="F4" s="1037"/>
      <c r="G4" s="1037"/>
      <c r="H4" s="1037"/>
    </row>
    <row r="5" spans="1:12" s="2" customFormat="1" ht="15.75">
      <c r="A5" s="361"/>
      <c r="B5" s="361"/>
      <c r="C5" s="361"/>
      <c r="D5" s="361"/>
      <c r="E5" s="361"/>
      <c r="F5" s="361"/>
      <c r="G5" s="361"/>
      <c r="H5" s="361"/>
    </row>
    <row r="6" spans="1:12" s="31" customFormat="1" ht="15.75">
      <c r="A6" s="373" t="s">
        <v>176</v>
      </c>
      <c r="B6" s="374"/>
      <c r="C6" s="374"/>
      <c r="D6" s="374"/>
      <c r="E6" s="374"/>
      <c r="F6" s="374"/>
      <c r="G6" s="374"/>
      <c r="H6" s="375" t="s">
        <v>175</v>
      </c>
    </row>
    <row r="7" spans="1:12" ht="26.25" customHeight="1" thickBot="1">
      <c r="A7" s="1099" t="s">
        <v>159</v>
      </c>
      <c r="B7" s="1087" t="s">
        <v>158</v>
      </c>
      <c r="C7" s="1087"/>
      <c r="D7" s="1087"/>
      <c r="E7" s="1087"/>
      <c r="F7" s="1087"/>
      <c r="G7" s="1087"/>
      <c r="H7" s="1106" t="s">
        <v>157</v>
      </c>
    </row>
    <row r="8" spans="1:12" ht="44.25" customHeight="1">
      <c r="A8" s="1100"/>
      <c r="B8" s="324" t="s">
        <v>607</v>
      </c>
      <c r="C8" s="324" t="s">
        <v>608</v>
      </c>
      <c r="D8" s="324" t="s">
        <v>609</v>
      </c>
      <c r="E8" s="324" t="s">
        <v>610</v>
      </c>
      <c r="F8" s="324" t="s">
        <v>611</v>
      </c>
      <c r="G8" s="325" t="s">
        <v>605</v>
      </c>
      <c r="H8" s="1107"/>
    </row>
    <row r="9" spans="1:12" ht="16.5" thickBot="1">
      <c r="A9" s="164" t="s">
        <v>437</v>
      </c>
      <c r="B9" s="340">
        <v>8</v>
      </c>
      <c r="C9" s="340">
        <v>0</v>
      </c>
      <c r="D9" s="340">
        <v>0</v>
      </c>
      <c r="E9" s="340">
        <v>0</v>
      </c>
      <c r="F9" s="340">
        <v>0</v>
      </c>
      <c r="G9" s="341">
        <f>SUM(Table_Default__XLS_TAB_13_2[[#This Row],[NEVER_MARR]:[NOT_STATED]])</f>
        <v>8</v>
      </c>
      <c r="H9" s="165" t="s">
        <v>437</v>
      </c>
    </row>
    <row r="10" spans="1:12" ht="16.5" thickBot="1">
      <c r="A10" s="166" t="s">
        <v>128</v>
      </c>
      <c r="B10" s="342">
        <v>196</v>
      </c>
      <c r="C10" s="342">
        <v>2</v>
      </c>
      <c r="D10" s="342">
        <v>5</v>
      </c>
      <c r="E10" s="342">
        <v>0</v>
      </c>
      <c r="F10" s="342">
        <v>0</v>
      </c>
      <c r="G10" s="341">
        <f>SUM(Table_Default__XLS_TAB_13_2[[#This Row],[NEVER_MARR]:[NOT_STATED]])</f>
        <v>203</v>
      </c>
      <c r="H10" s="167" t="s">
        <v>128</v>
      </c>
    </row>
    <row r="11" spans="1:12" ht="16.5" thickBot="1">
      <c r="A11" s="166" t="s">
        <v>127</v>
      </c>
      <c r="B11" s="342">
        <v>511</v>
      </c>
      <c r="C11" s="342">
        <v>11</v>
      </c>
      <c r="D11" s="342">
        <v>19</v>
      </c>
      <c r="E11" s="342">
        <v>0</v>
      </c>
      <c r="F11" s="342">
        <v>0</v>
      </c>
      <c r="G11" s="341">
        <f>SUM(Table_Default__XLS_TAB_13_2[[#This Row],[NEVER_MARR]:[NOT_STATED]])</f>
        <v>541</v>
      </c>
      <c r="H11" s="167" t="s">
        <v>127</v>
      </c>
    </row>
    <row r="12" spans="1:12" ht="16.5" thickBot="1">
      <c r="A12" s="166" t="s">
        <v>126</v>
      </c>
      <c r="B12" s="342">
        <v>305</v>
      </c>
      <c r="C12" s="342">
        <v>27</v>
      </c>
      <c r="D12" s="342">
        <v>48</v>
      </c>
      <c r="E12" s="342">
        <v>0</v>
      </c>
      <c r="F12" s="342">
        <v>0</v>
      </c>
      <c r="G12" s="341">
        <f>SUM(Table_Default__XLS_TAB_13_2[[#This Row],[NEVER_MARR]:[NOT_STATED]])</f>
        <v>380</v>
      </c>
      <c r="H12" s="167" t="s">
        <v>126</v>
      </c>
    </row>
    <row r="13" spans="1:12" ht="16.5" thickBot="1">
      <c r="A13" s="166" t="s">
        <v>125</v>
      </c>
      <c r="B13" s="342">
        <v>95</v>
      </c>
      <c r="C13" s="342">
        <v>45</v>
      </c>
      <c r="D13" s="342">
        <v>49</v>
      </c>
      <c r="E13" s="342">
        <v>1</v>
      </c>
      <c r="F13" s="342">
        <v>0</v>
      </c>
      <c r="G13" s="341">
        <f>SUM(Table_Default__XLS_TAB_13_2[[#This Row],[NEVER_MARR]:[NOT_STATED]])</f>
        <v>190</v>
      </c>
      <c r="H13" s="167" t="s">
        <v>125</v>
      </c>
    </row>
    <row r="14" spans="1:12" ht="16.5" thickBot="1">
      <c r="A14" s="166" t="s">
        <v>124</v>
      </c>
      <c r="B14" s="342">
        <v>25</v>
      </c>
      <c r="C14" s="342">
        <v>38</v>
      </c>
      <c r="D14" s="342">
        <v>23</v>
      </c>
      <c r="E14" s="342">
        <v>2</v>
      </c>
      <c r="F14" s="342">
        <v>0</v>
      </c>
      <c r="G14" s="341">
        <f>SUM(Table_Default__XLS_TAB_13_2[[#This Row],[NEVER_MARR]:[NOT_STATED]])</f>
        <v>88</v>
      </c>
      <c r="H14" s="167" t="s">
        <v>124</v>
      </c>
    </row>
    <row r="15" spans="1:12" ht="16.5" thickBot="1">
      <c r="A15" s="166" t="s">
        <v>123</v>
      </c>
      <c r="B15" s="342">
        <v>11</v>
      </c>
      <c r="C15" s="342">
        <v>30</v>
      </c>
      <c r="D15" s="342">
        <v>14</v>
      </c>
      <c r="E15" s="342">
        <v>0</v>
      </c>
      <c r="F15" s="342">
        <v>0</v>
      </c>
      <c r="G15" s="341">
        <f>SUM(Table_Default__XLS_TAB_13_2[[#This Row],[NEVER_MARR]:[NOT_STATED]])</f>
        <v>55</v>
      </c>
      <c r="H15" s="167" t="s">
        <v>123</v>
      </c>
    </row>
    <row r="16" spans="1:12" ht="16.5" thickBot="1">
      <c r="A16" s="166" t="s">
        <v>122</v>
      </c>
      <c r="B16" s="342">
        <v>5</v>
      </c>
      <c r="C16" s="342">
        <v>19</v>
      </c>
      <c r="D16" s="342">
        <v>15</v>
      </c>
      <c r="E16" s="342">
        <v>1</v>
      </c>
      <c r="F16" s="342">
        <v>0</v>
      </c>
      <c r="G16" s="341">
        <f>SUM(Table_Default__XLS_TAB_13_2[[#This Row],[NEVER_MARR]:[NOT_STATED]])</f>
        <v>40</v>
      </c>
      <c r="H16" s="167" t="s">
        <v>122</v>
      </c>
    </row>
    <row r="17" spans="1:8" ht="16.5" thickBot="1">
      <c r="A17" s="166" t="s">
        <v>121</v>
      </c>
      <c r="B17" s="342">
        <v>5</v>
      </c>
      <c r="C17" s="342">
        <v>10</v>
      </c>
      <c r="D17" s="342">
        <v>8</v>
      </c>
      <c r="E17" s="342">
        <v>1</v>
      </c>
      <c r="F17" s="342">
        <v>0</v>
      </c>
      <c r="G17" s="341">
        <f>SUM(Table_Default__XLS_TAB_13_2[[#This Row],[NEVER_MARR]:[NOT_STATED]])</f>
        <v>24</v>
      </c>
      <c r="H17" s="167" t="s">
        <v>121</v>
      </c>
    </row>
    <row r="18" spans="1:8" ht="16.5" thickBot="1">
      <c r="A18" s="166" t="s">
        <v>120</v>
      </c>
      <c r="B18" s="342">
        <v>0</v>
      </c>
      <c r="C18" s="342">
        <v>5</v>
      </c>
      <c r="D18" s="342">
        <v>4</v>
      </c>
      <c r="E18" s="342">
        <v>0</v>
      </c>
      <c r="F18" s="342">
        <v>0</v>
      </c>
      <c r="G18" s="341">
        <f>SUM(Table_Default__XLS_TAB_13_2[[#This Row],[NEVER_MARR]:[NOT_STATED]])</f>
        <v>9</v>
      </c>
      <c r="H18" s="167" t="s">
        <v>120</v>
      </c>
    </row>
    <row r="19" spans="1:8" ht="16.5" thickBot="1">
      <c r="A19" s="166" t="s">
        <v>119</v>
      </c>
      <c r="B19" s="342">
        <v>0</v>
      </c>
      <c r="C19" s="342">
        <v>2</v>
      </c>
      <c r="D19" s="342">
        <v>0</v>
      </c>
      <c r="E19" s="342">
        <v>2</v>
      </c>
      <c r="F19" s="342">
        <v>0</v>
      </c>
      <c r="G19" s="341">
        <f>SUM(Table_Default__XLS_TAB_13_2[[#This Row],[NEVER_MARR]:[NOT_STATED]])</f>
        <v>4</v>
      </c>
      <c r="H19" s="167" t="s">
        <v>119</v>
      </c>
    </row>
    <row r="20" spans="1:8" ht="16.5" thickBot="1">
      <c r="A20" s="166" t="s">
        <v>118</v>
      </c>
      <c r="B20" s="342">
        <v>0</v>
      </c>
      <c r="C20" s="342">
        <v>0</v>
      </c>
      <c r="D20" s="342">
        <v>2</v>
      </c>
      <c r="E20" s="342">
        <v>0</v>
      </c>
      <c r="F20" s="342">
        <v>0</v>
      </c>
      <c r="G20" s="341">
        <f>SUM(Table_Default__XLS_TAB_13_2[[#This Row],[NEVER_MARR]:[NOT_STATED]])</f>
        <v>2</v>
      </c>
      <c r="H20" s="167" t="s">
        <v>118</v>
      </c>
    </row>
    <row r="21" spans="1:8" ht="16.5" thickBot="1">
      <c r="A21" s="166" t="s">
        <v>117</v>
      </c>
      <c r="B21" s="342">
        <v>0</v>
      </c>
      <c r="C21" s="342">
        <v>0</v>
      </c>
      <c r="D21" s="342">
        <v>0</v>
      </c>
      <c r="E21" s="342">
        <v>0</v>
      </c>
      <c r="F21" s="342">
        <v>0</v>
      </c>
      <c r="G21" s="341">
        <f>SUM(Table_Default__XLS_TAB_13_2[[#This Row],[NEVER_MARR]:[NOT_STATED]])</f>
        <v>0</v>
      </c>
      <c r="H21" s="167" t="s">
        <v>117</v>
      </c>
    </row>
    <row r="22" spans="1:8" ht="15.75">
      <c r="A22" s="168" t="s">
        <v>15</v>
      </c>
      <c r="B22" s="343">
        <v>0</v>
      </c>
      <c r="C22" s="343">
        <v>0</v>
      </c>
      <c r="D22" s="343">
        <v>0</v>
      </c>
      <c r="E22" s="343">
        <v>0</v>
      </c>
      <c r="F22" s="343">
        <v>0</v>
      </c>
      <c r="G22" s="423">
        <f>SUM(Table_Default__XLS_TAB_13_2[[#This Row],[NEVER_MARR]:[NOT_STATED]])</f>
        <v>0</v>
      </c>
      <c r="H22" s="169" t="s">
        <v>16</v>
      </c>
    </row>
    <row r="23" spans="1:8" ht="21.95" customHeight="1" thickBot="1">
      <c r="A23" s="948" t="s">
        <v>17</v>
      </c>
      <c r="B23" s="949">
        <f>SUBTOTAL(109,Table_Default__XLS_TAB_13_2[NEVER_MARR])</f>
        <v>1161</v>
      </c>
      <c r="C23" s="949">
        <f>SUBTOTAL(109,Table_Default__XLS_TAB_13_2[MARRIED])</f>
        <v>189</v>
      </c>
      <c r="D23" s="949">
        <f>SUBTOTAL(109,Table_Default__XLS_TAB_13_2[DIVORCES])</f>
        <v>187</v>
      </c>
      <c r="E23" s="949">
        <f>SUBTOTAL(109,Table_Default__XLS_TAB_13_2[WIDOWED])</f>
        <v>7</v>
      </c>
      <c r="F23" s="950">
        <f>SUBTOTAL(109,Table_Default__XLS_TAB_13_2[NOT_STATED])</f>
        <v>0</v>
      </c>
      <c r="G23" s="949">
        <f>SUBTOTAL(109,Table_Default__XLS_TAB_13_2[TOTAL])</f>
        <v>1544</v>
      </c>
      <c r="H23" s="951" t="s">
        <v>56</v>
      </c>
    </row>
    <row r="24" spans="1:8" ht="19.5" customHeight="1">
      <c r="A24" s="501" t="s">
        <v>146</v>
      </c>
      <c r="B24" s="502">
        <f>B23/$G$23%</f>
        <v>75.19430051813471</v>
      </c>
      <c r="C24" s="502">
        <f>C23/$G$23%</f>
        <v>12.240932642487047</v>
      </c>
      <c r="D24" s="502">
        <f>D23/$G$23%</f>
        <v>12.11139896373057</v>
      </c>
      <c r="E24" s="502">
        <f>E23/$G$23%</f>
        <v>0.45336787564766839</v>
      </c>
      <c r="F24" s="502">
        <f>F23/$G$23%</f>
        <v>0</v>
      </c>
      <c r="G24" s="502">
        <f>SUM(B24:F24)</f>
        <v>100</v>
      </c>
      <c r="H24" s="915" t="s">
        <v>20</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24"/>
  <sheetViews>
    <sheetView rightToLeft="1" view="pageBreakPreview" topLeftCell="A4" zoomScaleNormal="100" zoomScaleSheetLayoutView="100" workbookViewId="0">
      <selection activeCell="G9" sqref="G9:G22"/>
    </sheetView>
  </sheetViews>
  <sheetFormatPr defaultColWidth="9.140625" defaultRowHeight="12.75"/>
  <cols>
    <col min="1" max="1" width="26.5703125" style="1" customWidth="1"/>
    <col min="2" max="2" width="16" style="1" customWidth="1"/>
    <col min="3" max="3" width="11.5703125" style="1" customWidth="1"/>
    <col min="4" max="4" width="12.85546875" style="1" customWidth="1"/>
    <col min="5" max="5" width="12.5703125" style="1" customWidth="1"/>
    <col min="6" max="7" width="13.42578125" style="1" customWidth="1"/>
    <col min="8" max="8" width="26.5703125" style="1" customWidth="1"/>
    <col min="9" max="16384" width="9.140625" style="1"/>
  </cols>
  <sheetData>
    <row r="1" spans="1:12" s="2" customFormat="1" ht="21.75" customHeight="1">
      <c r="A1" s="1009" t="s">
        <v>163</v>
      </c>
      <c r="B1" s="1009"/>
      <c r="C1" s="1110"/>
      <c r="D1" s="1009"/>
      <c r="E1" s="1009"/>
      <c r="F1" s="1009"/>
      <c r="G1" s="1009"/>
      <c r="H1" s="1009"/>
    </row>
    <row r="2" spans="1:12" s="2" customFormat="1" ht="15.75">
      <c r="A2" s="1036" t="s">
        <v>162</v>
      </c>
      <c r="B2" s="1036"/>
      <c r="C2" s="1036"/>
      <c r="D2" s="1036"/>
      <c r="E2" s="1036"/>
      <c r="F2" s="1036"/>
      <c r="G2" s="1036"/>
      <c r="H2" s="1036"/>
    </row>
    <row r="3" spans="1:12" s="2" customFormat="1" ht="18" customHeight="1">
      <c r="A3" s="1037">
        <v>2019</v>
      </c>
      <c r="B3" s="1037"/>
      <c r="C3" s="1037"/>
      <c r="D3" s="1037"/>
      <c r="E3" s="1037"/>
      <c r="F3" s="1037"/>
      <c r="G3" s="1037"/>
      <c r="H3" s="1037"/>
      <c r="I3" s="57"/>
      <c r="J3" s="57"/>
      <c r="K3" s="57"/>
      <c r="L3" s="57"/>
    </row>
    <row r="4" spans="1:12" s="2" customFormat="1" ht="15.75">
      <c r="A4" s="1037" t="s">
        <v>1</v>
      </c>
      <c r="B4" s="1037"/>
      <c r="C4" s="1037"/>
      <c r="D4" s="1037"/>
      <c r="E4" s="1037"/>
      <c r="F4" s="1037"/>
      <c r="G4" s="1037"/>
      <c r="H4" s="1037"/>
    </row>
    <row r="5" spans="1:12" s="2" customFormat="1" ht="15.75">
      <c r="A5" s="361"/>
      <c r="B5" s="361"/>
      <c r="C5" s="361"/>
      <c r="D5" s="361"/>
      <c r="E5" s="361"/>
      <c r="F5" s="361"/>
      <c r="G5" s="361"/>
      <c r="H5" s="361"/>
    </row>
    <row r="6" spans="1:12" s="31" customFormat="1" ht="15.75">
      <c r="A6" s="373" t="s">
        <v>179</v>
      </c>
      <c r="B6" s="374"/>
      <c r="C6" s="374"/>
      <c r="D6" s="374"/>
      <c r="E6" s="374"/>
      <c r="F6" s="374"/>
      <c r="G6" s="374"/>
      <c r="H6" s="375" t="s">
        <v>178</v>
      </c>
    </row>
    <row r="7" spans="1:12" ht="26.25" customHeight="1" thickBot="1">
      <c r="A7" s="1099" t="s">
        <v>159</v>
      </c>
      <c r="B7" s="1087" t="s">
        <v>158</v>
      </c>
      <c r="C7" s="1087"/>
      <c r="D7" s="1087"/>
      <c r="E7" s="1087"/>
      <c r="F7" s="1087"/>
      <c r="G7" s="1087"/>
      <c r="H7" s="1106" t="s">
        <v>157</v>
      </c>
    </row>
    <row r="8" spans="1:12" ht="44.25" customHeight="1">
      <c r="A8" s="1108"/>
      <c r="B8" s="324" t="s">
        <v>607</v>
      </c>
      <c r="C8" s="324" t="s">
        <v>608</v>
      </c>
      <c r="D8" s="324" t="s">
        <v>609</v>
      </c>
      <c r="E8" s="324" t="s">
        <v>610</v>
      </c>
      <c r="F8" s="324" t="s">
        <v>611</v>
      </c>
      <c r="G8" s="325" t="s">
        <v>605</v>
      </c>
      <c r="H8" s="1109"/>
    </row>
    <row r="9" spans="1:12" ht="16.5" thickBot="1">
      <c r="A9" s="164" t="s">
        <v>437</v>
      </c>
      <c r="B9" s="340">
        <v>37</v>
      </c>
      <c r="C9" s="340">
        <v>0</v>
      </c>
      <c r="D9" s="340">
        <v>0</v>
      </c>
      <c r="E9" s="340">
        <v>0</v>
      </c>
      <c r="F9" s="340">
        <v>0</v>
      </c>
      <c r="G9" s="341">
        <f>SUM(Table_Default__XLS_TAB_13_3[[#This Row],[NEVER_MARR]:[NOT_STATED]])</f>
        <v>37</v>
      </c>
      <c r="H9" s="165" t="s">
        <v>437</v>
      </c>
    </row>
    <row r="10" spans="1:12" ht="16.5" thickBot="1">
      <c r="A10" s="166" t="s">
        <v>128</v>
      </c>
      <c r="B10" s="342">
        <v>742</v>
      </c>
      <c r="C10" s="342">
        <v>3</v>
      </c>
      <c r="D10" s="342">
        <v>32</v>
      </c>
      <c r="E10" s="342">
        <v>0</v>
      </c>
      <c r="F10" s="342">
        <v>0</v>
      </c>
      <c r="G10" s="341">
        <f>SUM(Table_Default__XLS_TAB_13_3[[#This Row],[NEVER_MARR]:[NOT_STATED]])</f>
        <v>777</v>
      </c>
      <c r="H10" s="167" t="s">
        <v>128</v>
      </c>
    </row>
    <row r="11" spans="1:12" ht="16.5" thickBot="1">
      <c r="A11" s="166" t="s">
        <v>127</v>
      </c>
      <c r="B11" s="342">
        <v>1190</v>
      </c>
      <c r="C11" s="342">
        <v>22</v>
      </c>
      <c r="D11" s="342">
        <v>138</v>
      </c>
      <c r="E11" s="342">
        <v>1</v>
      </c>
      <c r="F11" s="342">
        <v>0</v>
      </c>
      <c r="G11" s="341">
        <f>SUM(Table_Default__XLS_TAB_13_3[[#This Row],[NEVER_MARR]:[NOT_STATED]])</f>
        <v>1351</v>
      </c>
      <c r="H11" s="167" t="s">
        <v>127</v>
      </c>
    </row>
    <row r="12" spans="1:12" ht="16.5" thickBot="1">
      <c r="A12" s="166" t="s">
        <v>126</v>
      </c>
      <c r="B12" s="342">
        <v>498</v>
      </c>
      <c r="C12" s="342">
        <v>52</v>
      </c>
      <c r="D12" s="342">
        <v>160</v>
      </c>
      <c r="E12" s="342">
        <v>0</v>
      </c>
      <c r="F12" s="342">
        <v>0</v>
      </c>
      <c r="G12" s="341">
        <f>SUM(Table_Default__XLS_TAB_13_3[[#This Row],[NEVER_MARR]:[NOT_STATED]])</f>
        <v>710</v>
      </c>
      <c r="H12" s="167" t="s">
        <v>126</v>
      </c>
    </row>
    <row r="13" spans="1:12" ht="16.5" thickBot="1">
      <c r="A13" s="166" t="s">
        <v>125</v>
      </c>
      <c r="B13" s="342">
        <v>130</v>
      </c>
      <c r="C13" s="342">
        <v>79</v>
      </c>
      <c r="D13" s="342">
        <v>97</v>
      </c>
      <c r="E13" s="342">
        <v>2</v>
      </c>
      <c r="F13" s="342">
        <v>0</v>
      </c>
      <c r="G13" s="341">
        <f>SUM(Table_Default__XLS_TAB_13_3[[#This Row],[NEVER_MARR]:[NOT_STATED]])</f>
        <v>308</v>
      </c>
      <c r="H13" s="167" t="s">
        <v>125</v>
      </c>
    </row>
    <row r="14" spans="1:12" ht="16.5" thickBot="1">
      <c r="A14" s="166" t="s">
        <v>124</v>
      </c>
      <c r="B14" s="342">
        <v>41</v>
      </c>
      <c r="C14" s="342">
        <v>65</v>
      </c>
      <c r="D14" s="342">
        <v>65</v>
      </c>
      <c r="E14" s="342">
        <v>3</v>
      </c>
      <c r="F14" s="342">
        <v>0</v>
      </c>
      <c r="G14" s="341">
        <f>SUM(Table_Default__XLS_TAB_13_3[[#This Row],[NEVER_MARR]:[NOT_STATED]])</f>
        <v>174</v>
      </c>
      <c r="H14" s="167" t="s">
        <v>124</v>
      </c>
    </row>
    <row r="15" spans="1:12" ht="16.5" thickBot="1">
      <c r="A15" s="166" t="s">
        <v>123</v>
      </c>
      <c r="B15" s="342">
        <v>24</v>
      </c>
      <c r="C15" s="342">
        <v>49</v>
      </c>
      <c r="D15" s="342">
        <v>37</v>
      </c>
      <c r="E15" s="342">
        <v>2</v>
      </c>
      <c r="F15" s="342">
        <v>0</v>
      </c>
      <c r="G15" s="341">
        <f>SUM(Table_Default__XLS_TAB_13_3[[#This Row],[NEVER_MARR]:[NOT_STATED]])</f>
        <v>112</v>
      </c>
      <c r="H15" s="167" t="s">
        <v>123</v>
      </c>
    </row>
    <row r="16" spans="1:12" ht="16.5" thickBot="1">
      <c r="A16" s="166" t="s">
        <v>122</v>
      </c>
      <c r="B16" s="342">
        <v>13</v>
      </c>
      <c r="C16" s="342">
        <v>40</v>
      </c>
      <c r="D16" s="342">
        <v>27</v>
      </c>
      <c r="E16" s="342">
        <v>1</v>
      </c>
      <c r="F16" s="342">
        <v>0</v>
      </c>
      <c r="G16" s="341">
        <f>SUM(Table_Default__XLS_TAB_13_3[[#This Row],[NEVER_MARR]:[NOT_STATED]])</f>
        <v>81</v>
      </c>
      <c r="H16" s="167" t="s">
        <v>122</v>
      </c>
    </row>
    <row r="17" spans="1:8" ht="16.5" thickBot="1">
      <c r="A17" s="166" t="s">
        <v>121</v>
      </c>
      <c r="B17" s="342">
        <v>8</v>
      </c>
      <c r="C17" s="342">
        <v>17</v>
      </c>
      <c r="D17" s="342">
        <v>12</v>
      </c>
      <c r="E17" s="342">
        <v>1</v>
      </c>
      <c r="F17" s="342">
        <v>0</v>
      </c>
      <c r="G17" s="341">
        <f>SUM(Table_Default__XLS_TAB_13_3[[#This Row],[NEVER_MARR]:[NOT_STATED]])</f>
        <v>38</v>
      </c>
      <c r="H17" s="167" t="s">
        <v>121</v>
      </c>
    </row>
    <row r="18" spans="1:8" ht="16.5" thickBot="1">
      <c r="A18" s="166" t="s">
        <v>120</v>
      </c>
      <c r="B18" s="342">
        <v>0</v>
      </c>
      <c r="C18" s="342">
        <v>10</v>
      </c>
      <c r="D18" s="342">
        <v>8</v>
      </c>
      <c r="E18" s="342">
        <v>1</v>
      </c>
      <c r="F18" s="342">
        <v>0</v>
      </c>
      <c r="G18" s="341">
        <f>SUM(Table_Default__XLS_TAB_13_3[[#This Row],[NEVER_MARR]:[NOT_STATED]])</f>
        <v>19</v>
      </c>
      <c r="H18" s="167" t="s">
        <v>120</v>
      </c>
    </row>
    <row r="19" spans="1:8" ht="16.5" thickBot="1">
      <c r="A19" s="166" t="s">
        <v>119</v>
      </c>
      <c r="B19" s="342">
        <v>0</v>
      </c>
      <c r="C19" s="342">
        <v>3</v>
      </c>
      <c r="D19" s="342">
        <v>3</v>
      </c>
      <c r="E19" s="342">
        <v>2</v>
      </c>
      <c r="F19" s="342">
        <v>0</v>
      </c>
      <c r="G19" s="341">
        <f>SUM(Table_Default__XLS_TAB_13_3[[#This Row],[NEVER_MARR]:[NOT_STATED]])</f>
        <v>8</v>
      </c>
      <c r="H19" s="167" t="s">
        <v>119</v>
      </c>
    </row>
    <row r="20" spans="1:8" ht="16.5" thickBot="1">
      <c r="A20" s="166" t="s">
        <v>118</v>
      </c>
      <c r="B20" s="342">
        <v>0</v>
      </c>
      <c r="C20" s="342">
        <v>1</v>
      </c>
      <c r="D20" s="342">
        <v>3</v>
      </c>
      <c r="E20" s="342">
        <v>1</v>
      </c>
      <c r="F20" s="342">
        <v>0</v>
      </c>
      <c r="G20" s="341">
        <f>SUM(Table_Default__XLS_TAB_13_3[[#This Row],[NEVER_MARR]:[NOT_STATED]])</f>
        <v>5</v>
      </c>
      <c r="H20" s="167" t="s">
        <v>118</v>
      </c>
    </row>
    <row r="21" spans="1:8" ht="16.5" thickBot="1">
      <c r="A21" s="166" t="s">
        <v>117</v>
      </c>
      <c r="B21" s="342">
        <v>0</v>
      </c>
      <c r="C21" s="342">
        <v>1</v>
      </c>
      <c r="D21" s="342">
        <v>0</v>
      </c>
      <c r="E21" s="342">
        <v>0</v>
      </c>
      <c r="F21" s="342">
        <v>0</v>
      </c>
      <c r="G21" s="341">
        <f>SUM(Table_Default__XLS_TAB_13_3[[#This Row],[NEVER_MARR]:[NOT_STATED]])</f>
        <v>1</v>
      </c>
      <c r="H21" s="167" t="s">
        <v>117</v>
      </c>
    </row>
    <row r="22" spans="1:8" ht="15.75">
      <c r="A22" s="168" t="s">
        <v>15</v>
      </c>
      <c r="B22" s="343">
        <v>0</v>
      </c>
      <c r="C22" s="343">
        <v>0</v>
      </c>
      <c r="D22" s="343">
        <v>0</v>
      </c>
      <c r="E22" s="343">
        <v>0</v>
      </c>
      <c r="F22" s="343">
        <v>0</v>
      </c>
      <c r="G22" s="423">
        <f>SUM(Table_Default__XLS_TAB_13_3[[#This Row],[NEVER_MARR]:[NOT_STATED]])</f>
        <v>0</v>
      </c>
      <c r="H22" s="169" t="s">
        <v>16</v>
      </c>
    </row>
    <row r="23" spans="1:8" ht="21.95" customHeight="1" thickBot="1">
      <c r="A23" s="948" t="s">
        <v>17</v>
      </c>
      <c r="B23" s="949">
        <f>SUBTOTAL(109,Table_Default__XLS_TAB_13_3[NEVER_MARR])</f>
        <v>2683</v>
      </c>
      <c r="C23" s="949">
        <f>SUBTOTAL(109,Table_Default__XLS_TAB_13_3[MARRIED])</f>
        <v>342</v>
      </c>
      <c r="D23" s="949">
        <f>SUBTOTAL(109,Table_Default__XLS_TAB_13_3[DIVORCES])</f>
        <v>582</v>
      </c>
      <c r="E23" s="949">
        <f>SUBTOTAL(109,Table_Default__XLS_TAB_13_3[WIDOWED])</f>
        <v>14</v>
      </c>
      <c r="F23" s="950">
        <f>SUBTOTAL(109,Table_Default__XLS_TAB_13_3[NOT_STATED])</f>
        <v>0</v>
      </c>
      <c r="G23" s="949">
        <f>SUBTOTAL(109,Table_Default__XLS_TAB_13_3[TOTAL])</f>
        <v>3621</v>
      </c>
      <c r="H23" s="951" t="s">
        <v>56</v>
      </c>
    </row>
    <row r="24" spans="1:8" ht="19.5" customHeight="1">
      <c r="A24" s="503" t="s">
        <v>146</v>
      </c>
      <c r="B24" s="504">
        <f>B23/$G$23%</f>
        <v>74.095553714443525</v>
      </c>
      <c r="C24" s="504">
        <f>C23/$G$23%</f>
        <v>9.4449047224523603</v>
      </c>
      <c r="D24" s="504">
        <f>D23/$G$23%</f>
        <v>16.072908036454017</v>
      </c>
      <c r="E24" s="504">
        <f>E23/$G$23%</f>
        <v>0.38663352665009665</v>
      </c>
      <c r="F24" s="504">
        <f>F23/$G$23%</f>
        <v>0</v>
      </c>
      <c r="G24" s="504">
        <f>SUM(B24:F24)</f>
        <v>100.00000000000001</v>
      </c>
      <c r="H24" s="916" t="s">
        <v>20</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21"/>
  <sheetViews>
    <sheetView rightToLeft="1" view="pageBreakPreview" topLeftCell="A7" zoomScaleNormal="100" zoomScaleSheetLayoutView="100" workbookViewId="0">
      <selection activeCell="B12" sqref="B12"/>
    </sheetView>
  </sheetViews>
  <sheetFormatPr defaultColWidth="9.140625" defaultRowHeight="12.75"/>
  <cols>
    <col min="1" max="1" width="26.5703125" style="2" customWidth="1"/>
    <col min="2" max="2" width="16.5703125" style="2" customWidth="1"/>
    <col min="3" max="3" width="12.85546875" style="2" customWidth="1"/>
    <col min="4" max="4" width="12.5703125" style="2" customWidth="1"/>
    <col min="5" max="6" width="13.42578125" style="2" customWidth="1"/>
    <col min="7" max="7" width="26.5703125" style="2" customWidth="1"/>
    <col min="8" max="16384" width="9.140625" style="2"/>
  </cols>
  <sheetData>
    <row r="1" spans="1:11" ht="21.75" customHeight="1">
      <c r="A1" s="1009" t="s">
        <v>174</v>
      </c>
      <c r="B1" s="1009"/>
      <c r="C1" s="1110"/>
      <c r="D1" s="1009"/>
      <c r="E1" s="1009"/>
      <c r="F1" s="1009"/>
      <c r="G1" s="1009"/>
    </row>
    <row r="2" spans="1:11" ht="15.75">
      <c r="A2" s="1036" t="s">
        <v>173</v>
      </c>
      <c r="B2" s="1036"/>
      <c r="C2" s="1036"/>
      <c r="D2" s="1036"/>
      <c r="E2" s="1036"/>
      <c r="F2" s="1036"/>
      <c r="G2" s="1036"/>
    </row>
    <row r="3" spans="1:11" ht="18" customHeight="1">
      <c r="A3" s="1037">
        <v>2019</v>
      </c>
      <c r="B3" s="1037"/>
      <c r="C3" s="1037"/>
      <c r="D3" s="1037"/>
      <c r="E3" s="1037"/>
      <c r="F3" s="1037"/>
      <c r="G3" s="1037"/>
      <c r="H3" s="57"/>
      <c r="I3" s="57"/>
      <c r="J3" s="57"/>
      <c r="K3" s="57"/>
    </row>
    <row r="4" spans="1:11" ht="15.75">
      <c r="A4" s="1037" t="s">
        <v>172</v>
      </c>
      <c r="B4" s="1037"/>
      <c r="C4" s="1037"/>
      <c r="D4" s="1037"/>
      <c r="E4" s="1037"/>
      <c r="F4" s="1037"/>
      <c r="G4" s="1037"/>
    </row>
    <row r="5" spans="1:11" ht="15.75">
      <c r="A5" s="361"/>
      <c r="B5" s="361"/>
      <c r="C5" s="361"/>
      <c r="D5" s="361"/>
      <c r="E5" s="361"/>
      <c r="F5" s="361"/>
      <c r="G5" s="361"/>
    </row>
    <row r="6" spans="1:11" s="31" customFormat="1" ht="15.75">
      <c r="A6" s="373" t="s">
        <v>185</v>
      </c>
      <c r="B6" s="374"/>
      <c r="C6" s="374"/>
      <c r="D6" s="374"/>
      <c r="E6" s="374"/>
      <c r="F6" s="374"/>
      <c r="G6" s="375" t="s">
        <v>184</v>
      </c>
    </row>
    <row r="7" spans="1:11" ht="26.25" customHeight="1" thickBot="1">
      <c r="A7" s="1099" t="s">
        <v>169</v>
      </c>
      <c r="B7" s="1087" t="s">
        <v>158</v>
      </c>
      <c r="C7" s="1087"/>
      <c r="D7" s="1087"/>
      <c r="E7" s="1087"/>
      <c r="F7" s="1087"/>
      <c r="G7" s="1106" t="s">
        <v>168</v>
      </c>
    </row>
    <row r="8" spans="1:11" ht="40.5" customHeight="1">
      <c r="A8" s="1108"/>
      <c r="B8" s="324" t="s">
        <v>612</v>
      </c>
      <c r="C8" s="324" t="s">
        <v>613</v>
      </c>
      <c r="D8" s="324" t="s">
        <v>614</v>
      </c>
      <c r="E8" s="324" t="s">
        <v>611</v>
      </c>
      <c r="F8" s="325" t="s">
        <v>605</v>
      </c>
      <c r="G8" s="1109"/>
    </row>
    <row r="9" spans="1:11" ht="18.75" customHeight="1" thickBot="1">
      <c r="A9" s="160" t="s">
        <v>437</v>
      </c>
      <c r="B9" s="340">
        <v>228</v>
      </c>
      <c r="C9" s="340">
        <v>7</v>
      </c>
      <c r="D9" s="340">
        <v>0</v>
      </c>
      <c r="E9" s="340">
        <v>0</v>
      </c>
      <c r="F9" s="341">
        <f>SUM(Table_Default__XLS_TAB_14_1[[#This Row],[NOT_MARRIED]:[NOT_STATED]])</f>
        <v>235</v>
      </c>
      <c r="G9" s="158" t="s">
        <v>437</v>
      </c>
    </row>
    <row r="10" spans="1:11" ht="18.75" customHeight="1" thickBot="1">
      <c r="A10" s="161" t="s">
        <v>128</v>
      </c>
      <c r="B10" s="342">
        <v>807</v>
      </c>
      <c r="C10" s="342">
        <v>53</v>
      </c>
      <c r="D10" s="342">
        <v>2</v>
      </c>
      <c r="E10" s="342">
        <v>0</v>
      </c>
      <c r="F10" s="341">
        <f>SUM(Table_Default__XLS_TAB_14_1[[#This Row],[NOT_MARRIED]:[NOT_STATED]])</f>
        <v>862</v>
      </c>
      <c r="G10" s="159" t="s">
        <v>128</v>
      </c>
    </row>
    <row r="11" spans="1:11" ht="18.75" customHeight="1" thickBot="1">
      <c r="A11" s="161" t="s">
        <v>127</v>
      </c>
      <c r="B11" s="342">
        <v>390</v>
      </c>
      <c r="C11" s="342">
        <v>92</v>
      </c>
      <c r="D11" s="342">
        <v>1</v>
      </c>
      <c r="E11" s="342">
        <v>0</v>
      </c>
      <c r="F11" s="341">
        <f>SUM(Table_Default__XLS_TAB_14_1[[#This Row],[NOT_MARRIED]:[NOT_STATED]])</f>
        <v>483</v>
      </c>
      <c r="G11" s="159" t="s">
        <v>127</v>
      </c>
    </row>
    <row r="12" spans="1:11" ht="18.75" customHeight="1" thickBot="1">
      <c r="A12" s="161" t="s">
        <v>126</v>
      </c>
      <c r="B12" s="342">
        <v>96</v>
      </c>
      <c r="C12" s="342">
        <v>91</v>
      </c>
      <c r="D12" s="342">
        <v>3</v>
      </c>
      <c r="E12" s="342">
        <v>0</v>
      </c>
      <c r="F12" s="341">
        <f>SUM(Table_Default__XLS_TAB_14_1[[#This Row],[NOT_MARRIED]:[NOT_STATED]])</f>
        <v>190</v>
      </c>
      <c r="G12" s="159" t="s">
        <v>126</v>
      </c>
    </row>
    <row r="13" spans="1:11" ht="18.75" customHeight="1" thickBot="1">
      <c r="A13" s="161" t="s">
        <v>125</v>
      </c>
      <c r="B13" s="342">
        <v>43</v>
      </c>
      <c r="C13" s="342">
        <v>54</v>
      </c>
      <c r="D13" s="342">
        <v>0</v>
      </c>
      <c r="E13" s="342">
        <v>0</v>
      </c>
      <c r="F13" s="341">
        <f>SUM(Table_Default__XLS_TAB_14_1[[#This Row],[NOT_MARRIED]:[NOT_STATED]])</f>
        <v>97</v>
      </c>
      <c r="G13" s="159" t="s">
        <v>125</v>
      </c>
    </row>
    <row r="14" spans="1:11" ht="18.75" customHeight="1" thickBot="1">
      <c r="A14" s="161" t="s">
        <v>124</v>
      </c>
      <c r="B14" s="342">
        <v>12</v>
      </c>
      <c r="C14" s="342">
        <v>45</v>
      </c>
      <c r="D14" s="342">
        <v>1</v>
      </c>
      <c r="E14" s="342">
        <v>0</v>
      </c>
      <c r="F14" s="341">
        <f>SUM(Table_Default__XLS_TAB_14_1[[#This Row],[NOT_MARRIED]:[NOT_STATED]])</f>
        <v>58</v>
      </c>
      <c r="G14" s="159" t="s">
        <v>124</v>
      </c>
    </row>
    <row r="15" spans="1:11" ht="18.75" customHeight="1" thickBot="1">
      <c r="A15" s="161" t="s">
        <v>123</v>
      </c>
      <c r="B15" s="342">
        <v>7</v>
      </c>
      <c r="C15" s="342">
        <v>16</v>
      </c>
      <c r="D15" s="342">
        <v>0</v>
      </c>
      <c r="E15" s="342">
        <v>0</v>
      </c>
      <c r="F15" s="341">
        <f>SUM(Table_Default__XLS_TAB_14_1[[#This Row],[NOT_MARRIED]:[NOT_STATED]])</f>
        <v>23</v>
      </c>
      <c r="G15" s="159" t="s">
        <v>123</v>
      </c>
    </row>
    <row r="16" spans="1:11" ht="18.75" customHeight="1" thickBot="1">
      <c r="A16" s="161" t="s">
        <v>122</v>
      </c>
      <c r="B16" s="342">
        <v>4</v>
      </c>
      <c r="C16" s="342">
        <v>11</v>
      </c>
      <c r="D16" s="342">
        <v>0</v>
      </c>
      <c r="E16" s="342">
        <v>0</v>
      </c>
      <c r="F16" s="341">
        <f>SUM(Table_Default__XLS_TAB_14_1[[#This Row],[NOT_MARRIED]:[NOT_STATED]])</f>
        <v>15</v>
      </c>
      <c r="G16" s="159" t="s">
        <v>122</v>
      </c>
    </row>
    <row r="17" spans="1:7" ht="18.75" customHeight="1" thickBot="1">
      <c r="A17" s="161" t="s">
        <v>121</v>
      </c>
      <c r="B17" s="342">
        <v>3</v>
      </c>
      <c r="C17" s="342">
        <v>5</v>
      </c>
      <c r="D17" s="342">
        <v>0</v>
      </c>
      <c r="E17" s="342">
        <v>0</v>
      </c>
      <c r="F17" s="341">
        <f>SUM(Table_Default__XLS_TAB_14_1[[#This Row],[NOT_MARRIED]:[NOT_STATED]])</f>
        <v>8</v>
      </c>
      <c r="G17" s="159" t="s">
        <v>121</v>
      </c>
    </row>
    <row r="18" spans="1:7" ht="18.75" customHeight="1" thickBot="1">
      <c r="A18" s="161" t="s">
        <v>133</v>
      </c>
      <c r="B18" s="342">
        <v>0</v>
      </c>
      <c r="C18" s="342">
        <v>0</v>
      </c>
      <c r="D18" s="342">
        <v>1</v>
      </c>
      <c r="E18" s="342">
        <v>0</v>
      </c>
      <c r="F18" s="341">
        <f>SUM(Table_Default__XLS_TAB_14_1[[#This Row],[NOT_MARRIED]:[NOT_STATED]])</f>
        <v>1</v>
      </c>
      <c r="G18" s="159" t="s">
        <v>133</v>
      </c>
    </row>
    <row r="19" spans="1:7" ht="18.75" customHeight="1">
      <c r="A19" s="162" t="s">
        <v>15</v>
      </c>
      <c r="B19" s="343">
        <v>0</v>
      </c>
      <c r="C19" s="343">
        <v>0</v>
      </c>
      <c r="D19" s="343">
        <v>0</v>
      </c>
      <c r="E19" s="343">
        <v>0</v>
      </c>
      <c r="F19" s="423">
        <f>SUM(Table_Default__XLS_TAB_14_1[[#This Row],[NOT_MARRIED]:[NOT_STATED]])</f>
        <v>0</v>
      </c>
      <c r="G19" s="163" t="s">
        <v>16</v>
      </c>
    </row>
    <row r="20" spans="1:7" ht="18.75" customHeight="1">
      <c r="A20" s="943" t="s">
        <v>17</v>
      </c>
      <c r="B20" s="940">
        <f>SUBTOTAL(109,Table_Default__XLS_TAB_14_1[NOT_MARRIED])</f>
        <v>1590</v>
      </c>
      <c r="C20" s="940">
        <f>SUBTOTAL(109,Table_Default__XLS_TAB_14_1[DIVORCES])</f>
        <v>374</v>
      </c>
      <c r="D20" s="940">
        <f>SUBTOTAL(109,Table_Default__XLS_TAB_14_1[WIDOWED])</f>
        <v>8</v>
      </c>
      <c r="E20" s="940">
        <f>SUBTOTAL(109,Table_Default__XLS_TAB_14_1[NOT_STATED])</f>
        <v>0</v>
      </c>
      <c r="F20" s="940">
        <f>SUBTOTAL(109,Table_Default__XLS_TAB_14_1[TOTAL])</f>
        <v>1972</v>
      </c>
      <c r="G20" s="941" t="s">
        <v>56</v>
      </c>
    </row>
    <row r="21" spans="1:7" ht="18.75" customHeight="1">
      <c r="A21" s="944" t="s">
        <v>146</v>
      </c>
      <c r="B21" s="505">
        <f>B20/$F$20%</f>
        <v>80.628803245436117</v>
      </c>
      <c r="C21" s="505">
        <f>C20/$F$20%</f>
        <v>18.965517241379313</v>
      </c>
      <c r="D21" s="505">
        <f>D20/$F$20%</f>
        <v>0.40567951318458423</v>
      </c>
      <c r="E21" s="505">
        <f>E20/$F$20%</f>
        <v>0</v>
      </c>
      <c r="F21" s="505">
        <f>F20/$F$20%</f>
        <v>100</v>
      </c>
      <c r="G21" s="942" t="s">
        <v>20</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21"/>
  <sheetViews>
    <sheetView rightToLeft="1" view="pageBreakPreview" zoomScaleNormal="100" zoomScaleSheetLayoutView="100" workbookViewId="0">
      <selection activeCell="F9" sqref="F9:F19"/>
    </sheetView>
  </sheetViews>
  <sheetFormatPr defaultColWidth="9.140625" defaultRowHeight="12.75"/>
  <cols>
    <col min="1" max="1" width="26.5703125" style="2" customWidth="1"/>
    <col min="2" max="2" width="16.5703125" style="2" customWidth="1"/>
    <col min="3" max="3" width="12.85546875" style="2" customWidth="1"/>
    <col min="4" max="4" width="12.5703125" style="2" customWidth="1"/>
    <col min="5" max="6" width="13.42578125" style="2" customWidth="1"/>
    <col min="7" max="7" width="26.5703125" style="2" customWidth="1"/>
    <col min="8" max="16384" width="9.140625" style="2"/>
  </cols>
  <sheetData>
    <row r="1" spans="1:11" ht="21.75" customHeight="1">
      <c r="A1" s="1009" t="s">
        <v>174</v>
      </c>
      <c r="B1" s="1009"/>
      <c r="C1" s="1110"/>
      <c r="D1" s="1009"/>
      <c r="E1" s="1009"/>
      <c r="F1" s="1009"/>
      <c r="G1" s="1009"/>
    </row>
    <row r="2" spans="1:11" ht="15.75">
      <c r="A2" s="1036" t="s">
        <v>173</v>
      </c>
      <c r="B2" s="1036"/>
      <c r="C2" s="1036"/>
      <c r="D2" s="1036"/>
      <c r="E2" s="1036"/>
      <c r="F2" s="1036"/>
      <c r="G2" s="1036"/>
    </row>
    <row r="3" spans="1:11" ht="18" customHeight="1">
      <c r="A3" s="1037">
        <v>2019</v>
      </c>
      <c r="B3" s="1037"/>
      <c r="C3" s="1037"/>
      <c r="D3" s="1037"/>
      <c r="E3" s="1037"/>
      <c r="F3" s="1037"/>
      <c r="G3" s="1037"/>
      <c r="H3" s="57"/>
      <c r="I3" s="57"/>
      <c r="J3" s="57"/>
      <c r="K3" s="57"/>
    </row>
    <row r="4" spans="1:11" ht="15.75">
      <c r="A4" s="1037" t="s">
        <v>177</v>
      </c>
      <c r="B4" s="1037"/>
      <c r="C4" s="1037"/>
      <c r="D4" s="1037"/>
      <c r="E4" s="1037"/>
      <c r="F4" s="1037"/>
      <c r="G4" s="1037"/>
    </row>
    <row r="5" spans="1:11" ht="15.75">
      <c r="A5" s="361"/>
      <c r="B5" s="361"/>
      <c r="C5" s="361"/>
      <c r="D5" s="361"/>
      <c r="E5" s="361"/>
      <c r="F5" s="361"/>
      <c r="G5" s="361"/>
    </row>
    <row r="6" spans="1:11" s="31" customFormat="1" ht="15.75">
      <c r="A6" s="373" t="s">
        <v>187</v>
      </c>
      <c r="B6" s="374"/>
      <c r="C6" s="374"/>
      <c r="D6" s="374"/>
      <c r="E6" s="374"/>
      <c r="F6" s="374"/>
      <c r="G6" s="375" t="s">
        <v>186</v>
      </c>
    </row>
    <row r="7" spans="1:11" ht="26.25" customHeight="1" thickBot="1">
      <c r="A7" s="1099" t="s">
        <v>169</v>
      </c>
      <c r="B7" s="1087" t="s">
        <v>158</v>
      </c>
      <c r="C7" s="1087"/>
      <c r="D7" s="1087"/>
      <c r="E7" s="1087"/>
      <c r="F7" s="1087"/>
      <c r="G7" s="1106" t="s">
        <v>168</v>
      </c>
    </row>
    <row r="8" spans="1:11" ht="40.5" customHeight="1">
      <c r="A8" s="1108"/>
      <c r="B8" s="324" t="s">
        <v>612</v>
      </c>
      <c r="C8" s="324" t="s">
        <v>613</v>
      </c>
      <c r="D8" s="324" t="s">
        <v>614</v>
      </c>
      <c r="E8" s="324" t="s">
        <v>611</v>
      </c>
      <c r="F8" s="325" t="s">
        <v>605</v>
      </c>
      <c r="G8" s="1109"/>
    </row>
    <row r="9" spans="1:11" ht="18.75" customHeight="1" thickBot="1">
      <c r="A9" s="160" t="s">
        <v>437</v>
      </c>
      <c r="B9" s="340">
        <v>142</v>
      </c>
      <c r="C9" s="340">
        <v>0</v>
      </c>
      <c r="D9" s="340">
        <v>0</v>
      </c>
      <c r="E9" s="340">
        <v>0</v>
      </c>
      <c r="F9" s="341">
        <f>SUM(Table_Default__XLS_TAB_14_2[[#This Row],[NOT_MARRIED]:[NOT_STATED]])</f>
        <v>142</v>
      </c>
      <c r="G9" s="158" t="s">
        <v>437</v>
      </c>
    </row>
    <row r="10" spans="1:11" ht="18.75" customHeight="1" thickBot="1">
      <c r="A10" s="161" t="s">
        <v>128</v>
      </c>
      <c r="B10" s="342">
        <v>442</v>
      </c>
      <c r="C10" s="342">
        <v>17</v>
      </c>
      <c r="D10" s="342">
        <v>0</v>
      </c>
      <c r="E10" s="342">
        <v>0</v>
      </c>
      <c r="F10" s="341">
        <f>SUM(Table_Default__XLS_TAB_14_2[[#This Row],[NOT_MARRIED]:[NOT_STATED]])</f>
        <v>459</v>
      </c>
      <c r="G10" s="159" t="s">
        <v>128</v>
      </c>
    </row>
    <row r="11" spans="1:11" ht="18.75" customHeight="1" thickBot="1">
      <c r="A11" s="161" t="s">
        <v>127</v>
      </c>
      <c r="B11" s="342">
        <v>445</v>
      </c>
      <c r="C11" s="342">
        <v>44</v>
      </c>
      <c r="D11" s="342">
        <v>1</v>
      </c>
      <c r="E11" s="342">
        <v>0</v>
      </c>
      <c r="F11" s="341">
        <f>SUM(Table_Default__XLS_TAB_14_2[[#This Row],[NOT_MARRIED]:[NOT_STATED]])</f>
        <v>490</v>
      </c>
      <c r="G11" s="159" t="s">
        <v>127</v>
      </c>
    </row>
    <row r="12" spans="1:11" ht="18.75" customHeight="1" thickBot="1">
      <c r="A12" s="161" t="s">
        <v>126</v>
      </c>
      <c r="B12" s="342">
        <v>219</v>
      </c>
      <c r="C12" s="342">
        <v>54</v>
      </c>
      <c r="D12" s="342">
        <v>3</v>
      </c>
      <c r="E12" s="342">
        <v>0</v>
      </c>
      <c r="F12" s="341">
        <f>SUM(Table_Default__XLS_TAB_14_2[[#This Row],[NOT_MARRIED]:[NOT_STATED]])</f>
        <v>276</v>
      </c>
      <c r="G12" s="159" t="s">
        <v>126</v>
      </c>
    </row>
    <row r="13" spans="1:11" ht="18.75" customHeight="1" thickBot="1">
      <c r="A13" s="161" t="s">
        <v>125</v>
      </c>
      <c r="B13" s="342">
        <v>88</v>
      </c>
      <c r="C13" s="342">
        <v>52</v>
      </c>
      <c r="D13" s="342">
        <v>5</v>
      </c>
      <c r="E13" s="342">
        <v>0</v>
      </c>
      <c r="F13" s="341">
        <f>SUM(Table_Default__XLS_TAB_14_2[[#This Row],[NOT_MARRIED]:[NOT_STATED]])</f>
        <v>145</v>
      </c>
      <c r="G13" s="159" t="s">
        <v>125</v>
      </c>
    </row>
    <row r="14" spans="1:11" ht="18.75" customHeight="1" thickBot="1">
      <c r="A14" s="161" t="s">
        <v>124</v>
      </c>
      <c r="B14" s="342">
        <v>40</v>
      </c>
      <c r="C14" s="342">
        <v>35</v>
      </c>
      <c r="D14" s="342">
        <v>1</v>
      </c>
      <c r="E14" s="342">
        <v>0</v>
      </c>
      <c r="F14" s="341">
        <f>SUM(Table_Default__XLS_TAB_14_2[[#This Row],[NOT_MARRIED]:[NOT_STATED]])</f>
        <v>76</v>
      </c>
      <c r="G14" s="159" t="s">
        <v>124</v>
      </c>
    </row>
    <row r="15" spans="1:11" ht="18.75" customHeight="1" thickBot="1">
      <c r="A15" s="161" t="s">
        <v>123</v>
      </c>
      <c r="B15" s="342">
        <v>16</v>
      </c>
      <c r="C15" s="342">
        <v>25</v>
      </c>
      <c r="D15" s="342">
        <v>1</v>
      </c>
      <c r="E15" s="342">
        <v>0</v>
      </c>
      <c r="F15" s="341">
        <f>SUM(Table_Default__XLS_TAB_14_2[[#This Row],[NOT_MARRIED]:[NOT_STATED]])</f>
        <v>42</v>
      </c>
      <c r="G15" s="159" t="s">
        <v>123</v>
      </c>
    </row>
    <row r="16" spans="1:11" ht="18.75" customHeight="1" thickBot="1">
      <c r="A16" s="161" t="s">
        <v>122</v>
      </c>
      <c r="B16" s="342">
        <v>5</v>
      </c>
      <c r="C16" s="342">
        <v>7</v>
      </c>
      <c r="D16" s="342">
        <v>1</v>
      </c>
      <c r="E16" s="342">
        <v>0</v>
      </c>
      <c r="F16" s="341">
        <f>SUM(Table_Default__XLS_TAB_14_2[[#This Row],[NOT_MARRIED]:[NOT_STATED]])</f>
        <v>13</v>
      </c>
      <c r="G16" s="159" t="s">
        <v>122</v>
      </c>
    </row>
    <row r="17" spans="1:7" ht="18.75" customHeight="1" thickBot="1">
      <c r="A17" s="161" t="s">
        <v>121</v>
      </c>
      <c r="B17" s="342">
        <v>0</v>
      </c>
      <c r="C17" s="342">
        <v>2</v>
      </c>
      <c r="D17" s="342">
        <v>0</v>
      </c>
      <c r="E17" s="342">
        <v>0</v>
      </c>
      <c r="F17" s="341">
        <f>SUM(Table_Default__XLS_TAB_14_2[[#This Row],[NOT_MARRIED]:[NOT_STATED]])</f>
        <v>2</v>
      </c>
      <c r="G17" s="159" t="s">
        <v>121</v>
      </c>
    </row>
    <row r="18" spans="1:7" ht="18.75" customHeight="1" thickBot="1">
      <c r="A18" s="161" t="s">
        <v>133</v>
      </c>
      <c r="B18" s="342">
        <v>2</v>
      </c>
      <c r="C18" s="342">
        <v>1</v>
      </c>
      <c r="D18" s="342">
        <v>0</v>
      </c>
      <c r="E18" s="342">
        <v>0</v>
      </c>
      <c r="F18" s="341">
        <f>SUM(Table_Default__XLS_TAB_14_2[[#This Row],[NOT_MARRIED]:[NOT_STATED]])</f>
        <v>3</v>
      </c>
      <c r="G18" s="159" t="s">
        <v>133</v>
      </c>
    </row>
    <row r="19" spans="1:7" ht="18.75" customHeight="1">
      <c r="A19" s="162" t="s">
        <v>15</v>
      </c>
      <c r="B19" s="343">
        <v>0</v>
      </c>
      <c r="C19" s="343">
        <v>1</v>
      </c>
      <c r="D19" s="343">
        <v>0</v>
      </c>
      <c r="E19" s="343">
        <v>0</v>
      </c>
      <c r="F19" s="423">
        <f>SUM(Table_Default__XLS_TAB_14_2[[#This Row],[NOT_MARRIED]:[NOT_STATED]])</f>
        <v>1</v>
      </c>
      <c r="G19" s="163" t="s">
        <v>16</v>
      </c>
    </row>
    <row r="20" spans="1:7" ht="18.75" customHeight="1" thickBot="1">
      <c r="A20" s="943" t="s">
        <v>17</v>
      </c>
      <c r="B20" s="940">
        <f>SUBTOTAL(109,Table_Default__XLS_TAB_14_2[NOT_MARRIED])</f>
        <v>1399</v>
      </c>
      <c r="C20" s="940">
        <f>SUBTOTAL(109,Table_Default__XLS_TAB_14_2[DIVORCES])</f>
        <v>238</v>
      </c>
      <c r="D20" s="940">
        <f>SUBTOTAL(109,Table_Default__XLS_TAB_14_2[WIDOWED])</f>
        <v>12</v>
      </c>
      <c r="E20" s="940">
        <f>SUBTOTAL(109,Table_Default__XLS_TAB_14_2[NOT_STATED])</f>
        <v>0</v>
      </c>
      <c r="F20" s="945">
        <f>SUBTOTAL(109,Table_Default__XLS_TAB_14_2[TOTAL])</f>
        <v>1649</v>
      </c>
      <c r="G20" s="941" t="s">
        <v>56</v>
      </c>
    </row>
    <row r="21" spans="1:7" ht="18.75" customHeight="1">
      <c r="A21" s="946" t="s">
        <v>146</v>
      </c>
      <c r="B21" s="506">
        <f>B20/$F$20%</f>
        <v>84.839296543359623</v>
      </c>
      <c r="C21" s="506">
        <f>C20/$F$20%</f>
        <v>14.432989690721651</v>
      </c>
      <c r="D21" s="506">
        <f>D20/$F$20%</f>
        <v>0.72771376591873871</v>
      </c>
      <c r="E21" s="506">
        <f>E20/$F$20%</f>
        <v>0</v>
      </c>
      <c r="F21" s="506">
        <f>SUM(B21:E21)</f>
        <v>100.00000000000001</v>
      </c>
      <c r="G21" s="947" t="s">
        <v>20</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21"/>
  <sheetViews>
    <sheetView rightToLeft="1" view="pageBreakPreview" topLeftCell="A4" zoomScaleNormal="100" zoomScaleSheetLayoutView="100" workbookViewId="0">
      <selection activeCell="D21" sqref="D21"/>
    </sheetView>
  </sheetViews>
  <sheetFormatPr defaultColWidth="9.140625" defaultRowHeight="12.75"/>
  <cols>
    <col min="1" max="1" width="26.5703125" style="2" customWidth="1"/>
    <col min="2" max="2" width="16.5703125" style="2" customWidth="1"/>
    <col min="3" max="3" width="12.85546875" style="2" customWidth="1"/>
    <col min="4" max="4" width="12.5703125" style="2" customWidth="1"/>
    <col min="5" max="6" width="13.42578125" style="2" customWidth="1"/>
    <col min="7" max="7" width="26.5703125" style="2" customWidth="1"/>
    <col min="8" max="16384" width="9.140625" style="2"/>
  </cols>
  <sheetData>
    <row r="1" spans="1:11" ht="21.75" customHeight="1">
      <c r="A1" s="1009" t="s">
        <v>174</v>
      </c>
      <c r="B1" s="1009"/>
      <c r="C1" s="1110"/>
      <c r="D1" s="1009"/>
      <c r="E1" s="1009"/>
      <c r="F1" s="1009"/>
      <c r="G1" s="1009"/>
    </row>
    <row r="2" spans="1:11" ht="15.75">
      <c r="A2" s="1036" t="s">
        <v>173</v>
      </c>
      <c r="B2" s="1036"/>
      <c r="C2" s="1036"/>
      <c r="D2" s="1036"/>
      <c r="E2" s="1036"/>
      <c r="F2" s="1036"/>
      <c r="G2" s="1036"/>
    </row>
    <row r="3" spans="1:11" ht="18" customHeight="1">
      <c r="A3" s="1037">
        <v>2019</v>
      </c>
      <c r="B3" s="1037"/>
      <c r="C3" s="1037"/>
      <c r="D3" s="1037"/>
      <c r="E3" s="1037"/>
      <c r="F3" s="1037"/>
      <c r="G3" s="1037"/>
      <c r="H3" s="57"/>
      <c r="I3" s="57"/>
      <c r="J3" s="57"/>
      <c r="K3" s="57"/>
    </row>
    <row r="4" spans="1:11" ht="15.75">
      <c r="A4" s="1037" t="s">
        <v>1</v>
      </c>
      <c r="B4" s="1037"/>
      <c r="C4" s="1037"/>
      <c r="D4" s="1037"/>
      <c r="E4" s="1037"/>
      <c r="F4" s="1037"/>
      <c r="G4" s="1037"/>
    </row>
    <row r="5" spans="1:11" ht="15.75">
      <c r="A5" s="361"/>
      <c r="B5" s="361"/>
      <c r="C5" s="361"/>
      <c r="D5" s="361"/>
      <c r="E5" s="361"/>
      <c r="F5" s="361"/>
      <c r="G5" s="361"/>
    </row>
    <row r="6" spans="1:11" s="31" customFormat="1" ht="15.75">
      <c r="A6" s="373" t="s">
        <v>189</v>
      </c>
      <c r="B6" s="374"/>
      <c r="C6" s="374"/>
      <c r="D6" s="374"/>
      <c r="E6" s="374"/>
      <c r="F6" s="374"/>
      <c r="G6" s="375" t="s">
        <v>188</v>
      </c>
    </row>
    <row r="7" spans="1:11" ht="26.25" customHeight="1" thickBot="1">
      <c r="A7" s="1099" t="s">
        <v>169</v>
      </c>
      <c r="B7" s="1087" t="s">
        <v>158</v>
      </c>
      <c r="C7" s="1087"/>
      <c r="D7" s="1087"/>
      <c r="E7" s="1087"/>
      <c r="F7" s="1087"/>
      <c r="G7" s="1106" t="s">
        <v>168</v>
      </c>
    </row>
    <row r="8" spans="1:11" ht="40.5" customHeight="1">
      <c r="A8" s="1108"/>
      <c r="B8" s="324" t="s">
        <v>612</v>
      </c>
      <c r="C8" s="324" t="s">
        <v>613</v>
      </c>
      <c r="D8" s="324" t="s">
        <v>614</v>
      </c>
      <c r="E8" s="324" t="s">
        <v>611</v>
      </c>
      <c r="F8" s="325" t="s">
        <v>605</v>
      </c>
      <c r="G8" s="1109"/>
    </row>
    <row r="9" spans="1:11" ht="18.75" customHeight="1" thickBot="1">
      <c r="A9" s="160" t="s">
        <v>437</v>
      </c>
      <c r="B9" s="340">
        <v>370</v>
      </c>
      <c r="C9" s="340">
        <v>7</v>
      </c>
      <c r="D9" s="340">
        <v>0</v>
      </c>
      <c r="E9" s="340">
        <v>0</v>
      </c>
      <c r="F9" s="341">
        <f>SUM(Table_Default__XLS_TAB_14_3[[#This Row],[NOT_MARRIED]:[NOT_STATED]])</f>
        <v>377</v>
      </c>
      <c r="G9" s="158" t="s">
        <v>437</v>
      </c>
    </row>
    <row r="10" spans="1:11" ht="18.75" customHeight="1" thickBot="1">
      <c r="A10" s="161" t="s">
        <v>128</v>
      </c>
      <c r="B10" s="342">
        <v>1249</v>
      </c>
      <c r="C10" s="342">
        <v>70</v>
      </c>
      <c r="D10" s="342">
        <v>2</v>
      </c>
      <c r="E10" s="342">
        <v>0</v>
      </c>
      <c r="F10" s="341">
        <f>SUM(Table_Default__XLS_TAB_14_3[[#This Row],[NOT_MARRIED]:[NOT_STATED]])</f>
        <v>1321</v>
      </c>
      <c r="G10" s="159" t="s">
        <v>128</v>
      </c>
    </row>
    <row r="11" spans="1:11" ht="18.75" customHeight="1" thickBot="1">
      <c r="A11" s="161" t="s">
        <v>127</v>
      </c>
      <c r="B11" s="342">
        <v>835</v>
      </c>
      <c r="C11" s="342">
        <v>136</v>
      </c>
      <c r="D11" s="342">
        <v>2</v>
      </c>
      <c r="E11" s="342">
        <v>0</v>
      </c>
      <c r="F11" s="341">
        <f>SUM(Table_Default__XLS_TAB_14_3[[#This Row],[NOT_MARRIED]:[NOT_STATED]])</f>
        <v>973</v>
      </c>
      <c r="G11" s="159" t="s">
        <v>127</v>
      </c>
    </row>
    <row r="12" spans="1:11" ht="18.75" customHeight="1" thickBot="1">
      <c r="A12" s="161" t="s">
        <v>126</v>
      </c>
      <c r="B12" s="342">
        <v>315</v>
      </c>
      <c r="C12" s="342">
        <v>145</v>
      </c>
      <c r="D12" s="342">
        <v>6</v>
      </c>
      <c r="E12" s="342">
        <v>0</v>
      </c>
      <c r="F12" s="341">
        <f>SUM(Table_Default__XLS_TAB_14_3[[#This Row],[NOT_MARRIED]:[NOT_STATED]])</f>
        <v>466</v>
      </c>
      <c r="G12" s="159" t="s">
        <v>126</v>
      </c>
    </row>
    <row r="13" spans="1:11" ht="18.75" customHeight="1" thickBot="1">
      <c r="A13" s="161" t="s">
        <v>125</v>
      </c>
      <c r="B13" s="342">
        <v>131</v>
      </c>
      <c r="C13" s="342">
        <v>106</v>
      </c>
      <c r="D13" s="342">
        <v>5</v>
      </c>
      <c r="E13" s="342">
        <v>0</v>
      </c>
      <c r="F13" s="341">
        <f>SUM(Table_Default__XLS_TAB_14_3[[#This Row],[NOT_MARRIED]:[NOT_STATED]])</f>
        <v>242</v>
      </c>
      <c r="G13" s="159" t="s">
        <v>125</v>
      </c>
    </row>
    <row r="14" spans="1:11" ht="18.75" customHeight="1" thickBot="1">
      <c r="A14" s="161" t="s">
        <v>124</v>
      </c>
      <c r="B14" s="342">
        <v>52</v>
      </c>
      <c r="C14" s="342">
        <v>80</v>
      </c>
      <c r="D14" s="342">
        <v>2</v>
      </c>
      <c r="E14" s="342">
        <v>0</v>
      </c>
      <c r="F14" s="341">
        <f>SUM(Table_Default__XLS_TAB_14_3[[#This Row],[NOT_MARRIED]:[NOT_STATED]])</f>
        <v>134</v>
      </c>
      <c r="G14" s="159" t="s">
        <v>124</v>
      </c>
    </row>
    <row r="15" spans="1:11" ht="18.75" customHeight="1" thickBot="1">
      <c r="A15" s="161" t="s">
        <v>123</v>
      </c>
      <c r="B15" s="342">
        <v>23</v>
      </c>
      <c r="C15" s="342">
        <v>41</v>
      </c>
      <c r="D15" s="342">
        <v>1</v>
      </c>
      <c r="E15" s="342">
        <v>0</v>
      </c>
      <c r="F15" s="341">
        <f>SUM(Table_Default__XLS_TAB_14_3[[#This Row],[NOT_MARRIED]:[NOT_STATED]])</f>
        <v>65</v>
      </c>
      <c r="G15" s="159" t="s">
        <v>123</v>
      </c>
    </row>
    <row r="16" spans="1:11" ht="18.75" customHeight="1" thickBot="1">
      <c r="A16" s="161" t="s">
        <v>122</v>
      </c>
      <c r="B16" s="342">
        <v>9</v>
      </c>
      <c r="C16" s="342">
        <v>18</v>
      </c>
      <c r="D16" s="342">
        <v>1</v>
      </c>
      <c r="E16" s="342">
        <v>0</v>
      </c>
      <c r="F16" s="341">
        <f>SUM(Table_Default__XLS_TAB_14_3[[#This Row],[NOT_MARRIED]:[NOT_STATED]])</f>
        <v>28</v>
      </c>
      <c r="G16" s="159" t="s">
        <v>122</v>
      </c>
    </row>
    <row r="17" spans="1:7" ht="18.75" customHeight="1" thickBot="1">
      <c r="A17" s="161" t="s">
        <v>121</v>
      </c>
      <c r="B17" s="342">
        <v>3</v>
      </c>
      <c r="C17" s="342">
        <v>7</v>
      </c>
      <c r="D17" s="342">
        <v>0</v>
      </c>
      <c r="E17" s="342">
        <v>0</v>
      </c>
      <c r="F17" s="341">
        <f>SUM(Table_Default__XLS_TAB_14_3[[#This Row],[NOT_MARRIED]:[NOT_STATED]])</f>
        <v>10</v>
      </c>
      <c r="G17" s="159" t="s">
        <v>121</v>
      </c>
    </row>
    <row r="18" spans="1:7" ht="18.75" customHeight="1" thickBot="1">
      <c r="A18" s="161" t="s">
        <v>133</v>
      </c>
      <c r="B18" s="342">
        <v>2</v>
      </c>
      <c r="C18" s="342">
        <v>1</v>
      </c>
      <c r="D18" s="342">
        <v>1</v>
      </c>
      <c r="E18" s="342">
        <v>0</v>
      </c>
      <c r="F18" s="341">
        <f>SUM(Table_Default__XLS_TAB_14_3[[#This Row],[NOT_MARRIED]:[NOT_STATED]])</f>
        <v>4</v>
      </c>
      <c r="G18" s="159" t="s">
        <v>133</v>
      </c>
    </row>
    <row r="19" spans="1:7" ht="18.75" customHeight="1">
      <c r="A19" s="162" t="s">
        <v>15</v>
      </c>
      <c r="B19" s="343">
        <v>0</v>
      </c>
      <c r="C19" s="343">
        <v>1</v>
      </c>
      <c r="D19" s="343">
        <v>0</v>
      </c>
      <c r="E19" s="343">
        <v>0</v>
      </c>
      <c r="F19" s="423">
        <f>SUM(Table_Default__XLS_TAB_14_3[[#This Row],[NOT_MARRIED]:[NOT_STATED]])</f>
        <v>1</v>
      </c>
      <c r="G19" s="163" t="s">
        <v>16</v>
      </c>
    </row>
    <row r="20" spans="1:7" ht="18.75" customHeight="1">
      <c r="A20" s="943" t="s">
        <v>17</v>
      </c>
      <c r="B20" s="940">
        <f>SUBTOTAL(109,Table_Default__XLS_TAB_14_3[NOT_MARRIED])</f>
        <v>2989</v>
      </c>
      <c r="C20" s="940">
        <f>SUBTOTAL(109,Table_Default__XLS_TAB_14_3[DIVORCES])</f>
        <v>612</v>
      </c>
      <c r="D20" s="940">
        <f>SUBTOTAL(109,Table_Default__XLS_TAB_14_3[WIDOWED])</f>
        <v>20</v>
      </c>
      <c r="E20" s="940">
        <f>SUBTOTAL(109,Table_Default__XLS_TAB_14_3[NOT_STATED])</f>
        <v>0</v>
      </c>
      <c r="F20" s="940">
        <f>SUBTOTAL(109,Table_Default__XLS_TAB_14_3[TOTAL])</f>
        <v>3621</v>
      </c>
      <c r="G20" s="941" t="s">
        <v>56</v>
      </c>
    </row>
    <row r="21" spans="1:7" ht="18.75" customHeight="1">
      <c r="A21" s="944" t="s">
        <v>146</v>
      </c>
      <c r="B21" s="505">
        <f>B20/$F$20%</f>
        <v>82.546257939795638</v>
      </c>
      <c r="C21" s="505">
        <f>C20/$F$20%</f>
        <v>16.901408450704224</v>
      </c>
      <c r="D21" s="505">
        <f>D20/$F$20%</f>
        <v>0.5523336095001381</v>
      </c>
      <c r="E21" s="505">
        <f>E20/$F$20%</f>
        <v>0</v>
      </c>
      <c r="F21" s="505">
        <f>F20/$F$20%</f>
        <v>100</v>
      </c>
      <c r="G21" s="942" t="s">
        <v>20</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21"/>
  <sheetViews>
    <sheetView rightToLeft="1" view="pageBreakPreview" zoomScaleNormal="100" zoomScaleSheetLayoutView="100" workbookViewId="0">
      <selection activeCell="A10" sqref="A10"/>
    </sheetView>
  </sheetViews>
  <sheetFormatPr defaultColWidth="9.140625" defaultRowHeight="12.75"/>
  <cols>
    <col min="1" max="1" width="27.42578125" style="2" customWidth="1"/>
    <col min="2" max="5" width="19.5703125" style="2" customWidth="1"/>
    <col min="6" max="6" width="26.140625" style="2" customWidth="1"/>
    <col min="7" max="16384" width="9.140625" style="2"/>
  </cols>
  <sheetData>
    <row r="1" spans="1:10" ht="21.75" customHeight="1">
      <c r="A1" s="1009" t="s">
        <v>588</v>
      </c>
      <c r="B1" s="1009"/>
      <c r="C1" s="1110"/>
      <c r="D1" s="1009"/>
      <c r="E1" s="1009"/>
      <c r="F1" s="1009"/>
    </row>
    <row r="2" spans="1:10" ht="15.75">
      <c r="A2" s="1036" t="s">
        <v>587</v>
      </c>
      <c r="B2" s="1036"/>
      <c r="C2" s="1036"/>
      <c r="D2" s="1036"/>
      <c r="E2" s="1036"/>
      <c r="F2" s="1036"/>
    </row>
    <row r="3" spans="1:10" ht="18" customHeight="1">
      <c r="A3" s="1037">
        <v>2019</v>
      </c>
      <c r="B3" s="1037"/>
      <c r="C3" s="1037"/>
      <c r="D3" s="1037"/>
      <c r="E3" s="1037"/>
      <c r="F3" s="1037"/>
      <c r="G3" s="57"/>
      <c r="H3" s="57"/>
      <c r="I3" s="57"/>
      <c r="J3" s="57"/>
    </row>
    <row r="4" spans="1:10" ht="15.75">
      <c r="A4" s="1037" t="s">
        <v>53</v>
      </c>
      <c r="B4" s="1037"/>
      <c r="C4" s="1037"/>
      <c r="D4" s="1037"/>
      <c r="E4" s="1037"/>
      <c r="F4" s="1037"/>
    </row>
    <row r="5" spans="1:10" ht="15.75">
      <c r="A5" s="361"/>
      <c r="B5" s="361"/>
      <c r="C5" s="361"/>
      <c r="D5" s="361"/>
      <c r="E5" s="361"/>
      <c r="F5" s="361"/>
    </row>
    <row r="6" spans="1:10" s="31" customFormat="1" ht="15.75">
      <c r="A6" s="373" t="s">
        <v>210</v>
      </c>
      <c r="B6" s="374"/>
      <c r="C6" s="374"/>
      <c r="D6" s="374"/>
      <c r="E6" s="374"/>
      <c r="F6" s="375" t="s">
        <v>209</v>
      </c>
    </row>
    <row r="7" spans="1:10" ht="45" customHeight="1">
      <c r="A7" s="179" t="s">
        <v>183</v>
      </c>
      <c r="B7" s="179" t="s">
        <v>615</v>
      </c>
      <c r="C7" s="179" t="s">
        <v>616</v>
      </c>
      <c r="D7" s="179" t="s">
        <v>116</v>
      </c>
      <c r="E7" s="179" t="s">
        <v>182</v>
      </c>
      <c r="F7" s="509" t="s">
        <v>181</v>
      </c>
    </row>
    <row r="8" spans="1:10" ht="20.25" customHeight="1" thickBot="1">
      <c r="A8" s="178">
        <v>-20</v>
      </c>
      <c r="B8" s="340">
        <v>29</v>
      </c>
      <c r="C8" s="340">
        <v>228</v>
      </c>
      <c r="D8" s="341">
        <f>Table_Default__XLS_TAB_15_1[[#This Row],[HUSBD_CNT]]+Table_Default__XLS_TAB_15_1[[#This Row],[WIFE_CNT]]</f>
        <v>257</v>
      </c>
      <c r="E8" s="345">
        <v>8.2583547557840618</v>
      </c>
      <c r="F8" s="539">
        <v>-20</v>
      </c>
      <c r="H8" s="2" t="s">
        <v>134</v>
      </c>
      <c r="I8" s="185">
        <f>SUM(B8:B12)</f>
        <v>1482</v>
      </c>
      <c r="J8" s="185">
        <f>SUM(C8:C12)</f>
        <v>1564</v>
      </c>
    </row>
    <row r="9" spans="1:10" ht="20.25" customHeight="1" thickBot="1">
      <c r="A9" s="177" t="s">
        <v>128</v>
      </c>
      <c r="B9" s="342">
        <v>546</v>
      </c>
      <c r="C9" s="342">
        <v>807</v>
      </c>
      <c r="D9" s="341">
        <f>Table_Default__XLS_TAB_15_1[[#This Row],[HUSBD_CNT]]+Table_Default__XLS_TAB_15_1[[#This Row],[WIFE_CNT]]</f>
        <v>1353</v>
      </c>
      <c r="E9" s="346">
        <v>43.476863753213365</v>
      </c>
      <c r="F9" s="540" t="s">
        <v>128</v>
      </c>
      <c r="H9" s="2" t="s">
        <v>128</v>
      </c>
      <c r="I9" s="185">
        <f>SUM(B13:B17)</f>
        <v>40</v>
      </c>
      <c r="J9" s="185">
        <f>SUM(C13:C17)</f>
        <v>26</v>
      </c>
    </row>
    <row r="10" spans="1:10" ht="20.25" customHeight="1" thickBot="1">
      <c r="A10" s="177" t="s">
        <v>127</v>
      </c>
      <c r="B10" s="342">
        <v>679</v>
      </c>
      <c r="C10" s="342">
        <v>390</v>
      </c>
      <c r="D10" s="341">
        <f>Table_Default__XLS_TAB_15_1[[#This Row],[HUSBD_CNT]]+Table_Default__XLS_TAB_15_1[[#This Row],[WIFE_CNT]]</f>
        <v>1069</v>
      </c>
      <c r="E10" s="346">
        <v>34.350899742930594</v>
      </c>
      <c r="F10" s="540" t="s">
        <v>127</v>
      </c>
      <c r="I10" s="312">
        <v>552</v>
      </c>
      <c r="J10" s="312">
        <v>287</v>
      </c>
    </row>
    <row r="11" spans="1:10" ht="20.25" customHeight="1" thickBot="1">
      <c r="A11" s="177" t="s">
        <v>126</v>
      </c>
      <c r="B11" s="342">
        <v>193</v>
      </c>
      <c r="C11" s="342">
        <v>96</v>
      </c>
      <c r="D11" s="341">
        <f>Table_Default__XLS_TAB_15_1[[#This Row],[HUSBD_CNT]]+Table_Default__XLS_TAB_15_1[[#This Row],[WIFE_CNT]]</f>
        <v>289</v>
      </c>
      <c r="E11" s="346">
        <v>9.2866323907455008</v>
      </c>
      <c r="F11" s="540" t="s">
        <v>126</v>
      </c>
      <c r="I11" s="198">
        <v>190</v>
      </c>
      <c r="J11" s="198">
        <v>92</v>
      </c>
    </row>
    <row r="12" spans="1:10" ht="20.25" customHeight="1" thickBot="1">
      <c r="A12" s="177" t="s">
        <v>125</v>
      </c>
      <c r="B12" s="342">
        <v>35</v>
      </c>
      <c r="C12" s="342">
        <v>43</v>
      </c>
      <c r="D12" s="341">
        <f>Table_Default__XLS_TAB_15_1[[#This Row],[HUSBD_CNT]]+Table_Default__XLS_TAB_15_1[[#This Row],[WIFE_CNT]]</f>
        <v>78</v>
      </c>
      <c r="E12" s="346">
        <v>2.506426735218509</v>
      </c>
      <c r="F12" s="540" t="s">
        <v>125</v>
      </c>
      <c r="I12" s="312">
        <v>37</v>
      </c>
      <c r="J12" s="312">
        <v>33</v>
      </c>
    </row>
    <row r="13" spans="1:10" ht="20.25" customHeight="1" thickBot="1">
      <c r="A13" s="177" t="s">
        <v>124</v>
      </c>
      <c r="B13" s="342">
        <v>16</v>
      </c>
      <c r="C13" s="342">
        <v>12</v>
      </c>
      <c r="D13" s="341">
        <f>Table_Default__XLS_TAB_15_1[[#This Row],[HUSBD_CNT]]+Table_Default__XLS_TAB_15_1[[#This Row],[WIFE_CNT]]</f>
        <v>28</v>
      </c>
      <c r="E13" s="346">
        <v>0.89974293059125965</v>
      </c>
      <c r="F13" s="540" t="s">
        <v>124</v>
      </c>
      <c r="I13" s="198">
        <v>20</v>
      </c>
      <c r="J13" s="198">
        <v>7</v>
      </c>
    </row>
    <row r="14" spans="1:10" ht="20.25" customHeight="1" thickBot="1">
      <c r="A14" s="177" t="s">
        <v>123</v>
      </c>
      <c r="B14" s="342">
        <v>13</v>
      </c>
      <c r="C14" s="342">
        <v>7</v>
      </c>
      <c r="D14" s="341">
        <f>Table_Default__XLS_TAB_15_1[[#This Row],[HUSBD_CNT]]+Table_Default__XLS_TAB_15_1[[#This Row],[WIFE_CNT]]</f>
        <v>20</v>
      </c>
      <c r="E14" s="346">
        <v>0.64267352185089976</v>
      </c>
      <c r="F14" s="540" t="s">
        <v>123</v>
      </c>
      <c r="I14" s="312">
        <v>9</v>
      </c>
      <c r="J14" s="312">
        <v>6</v>
      </c>
    </row>
    <row r="15" spans="1:10" ht="20.25" customHeight="1" thickBot="1">
      <c r="A15" s="177" t="s">
        <v>122</v>
      </c>
      <c r="B15" s="342">
        <v>8</v>
      </c>
      <c r="C15" s="342">
        <v>4</v>
      </c>
      <c r="D15" s="341">
        <f>Table_Default__XLS_TAB_15_1[[#This Row],[HUSBD_CNT]]+Table_Default__XLS_TAB_15_1[[#This Row],[WIFE_CNT]]</f>
        <v>12</v>
      </c>
      <c r="E15" s="346">
        <v>0.38560411311053983</v>
      </c>
      <c r="F15" s="540" t="s">
        <v>122</v>
      </c>
      <c r="I15" s="198">
        <v>2</v>
      </c>
      <c r="J15" s="198">
        <v>2</v>
      </c>
    </row>
    <row r="16" spans="1:10" ht="20.25" customHeight="1" thickBot="1">
      <c r="A16" s="177" t="s">
        <v>180</v>
      </c>
      <c r="B16" s="342">
        <v>3</v>
      </c>
      <c r="C16" s="342">
        <v>3</v>
      </c>
      <c r="D16" s="341">
        <f>Table_Default__XLS_TAB_15_1[[#This Row],[HUSBD_CNT]]+Table_Default__XLS_TAB_15_1[[#This Row],[WIFE_CNT]]</f>
        <v>6</v>
      </c>
      <c r="E16" s="346">
        <v>0.19280205655526991</v>
      </c>
      <c r="F16" s="540" t="s">
        <v>180</v>
      </c>
      <c r="I16" s="312">
        <v>0</v>
      </c>
      <c r="J16" s="312">
        <v>0</v>
      </c>
    </row>
    <row r="17" spans="1:6" ht="20.25" customHeight="1">
      <c r="A17" s="353" t="s">
        <v>15</v>
      </c>
      <c r="B17" s="343">
        <v>0</v>
      </c>
      <c r="C17" s="343">
        <v>0</v>
      </c>
      <c r="D17" s="423">
        <f>Table_Default__XLS_TAB_15_1[[#This Row],[HUSBD_CNT]]+Table_Default__XLS_TAB_15_1[[#This Row],[WIFE_CNT]]</f>
        <v>0</v>
      </c>
      <c r="E17" s="354">
        <v>0</v>
      </c>
      <c r="F17" s="541" t="s">
        <v>16</v>
      </c>
    </row>
    <row r="18" spans="1:6" ht="20.25" customHeight="1">
      <c r="A18" s="936" t="s">
        <v>17</v>
      </c>
      <c r="B18" s="938">
        <f>SUBTOTAL(109,Table_Default__XLS_TAB_15_1[HUSBD_CNT])</f>
        <v>1522</v>
      </c>
      <c r="C18" s="938">
        <f>SUBTOTAL(109,Table_Default__XLS_TAB_15_1[WIFE_CNT])</f>
        <v>1590</v>
      </c>
      <c r="D18" s="938">
        <f>SUBTOTAL(109,Table_Default__XLS_TAB_15_1[TOTAL])</f>
        <v>3112</v>
      </c>
      <c r="E18" s="939">
        <f>SUBTOTAL(109,Table_Default__XLS_TAB_15_1[PSTG])</f>
        <v>99.999999999999986</v>
      </c>
      <c r="F18" s="937" t="s">
        <v>56</v>
      </c>
    </row>
    <row r="19" spans="1:6" ht="20.25" customHeight="1">
      <c r="A19" s="480"/>
      <c r="B19" s="481"/>
      <c r="C19" s="481"/>
      <c r="D19" s="481"/>
      <c r="E19" s="482"/>
      <c r="F19" s="483"/>
    </row>
    <row r="20" spans="1:6">
      <c r="A20" s="316"/>
      <c r="B20" s="316"/>
      <c r="C20" s="316"/>
      <c r="D20" s="316"/>
      <c r="E20" s="316"/>
      <c r="F20" s="316"/>
    </row>
    <row r="21" spans="1:6">
      <c r="A21" s="316"/>
      <c r="B21" s="316"/>
      <c r="C21" s="316"/>
      <c r="D21" s="316"/>
      <c r="E21" s="316"/>
      <c r="F21" s="316"/>
    </row>
  </sheetData>
  <mergeCells count="4">
    <mergeCell ref="A1:F1"/>
    <mergeCell ref="A2:F2"/>
    <mergeCell ref="A3:F3"/>
    <mergeCell ref="A4:F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20"/>
  <sheetViews>
    <sheetView rightToLeft="1" view="pageBreakPreview" zoomScaleNormal="100" zoomScaleSheetLayoutView="100" workbookViewId="0">
      <selection activeCell="D13" sqref="D13"/>
    </sheetView>
  </sheetViews>
  <sheetFormatPr defaultColWidth="9.140625" defaultRowHeight="12.75"/>
  <cols>
    <col min="1" max="1" width="27.42578125" style="2" customWidth="1"/>
    <col min="2" max="5" width="19.5703125" style="2" customWidth="1"/>
    <col min="6" max="6" width="26.140625" style="2" customWidth="1"/>
    <col min="7" max="16384" width="9.140625" style="2"/>
  </cols>
  <sheetData>
    <row r="1" spans="1:8" ht="21.75" customHeight="1">
      <c r="A1" s="1009" t="s">
        <v>588</v>
      </c>
      <c r="B1" s="1009"/>
      <c r="C1" s="1110"/>
      <c r="D1" s="1009"/>
      <c r="E1" s="1009"/>
      <c r="F1" s="1009"/>
    </row>
    <row r="2" spans="1:8" ht="15.75">
      <c r="A2" s="1036" t="s">
        <v>587</v>
      </c>
      <c r="B2" s="1036"/>
      <c r="C2" s="1036"/>
      <c r="D2" s="1036"/>
      <c r="E2" s="1036"/>
      <c r="F2" s="1036"/>
    </row>
    <row r="3" spans="1:8" ht="18" customHeight="1">
      <c r="A3" s="1037">
        <v>2019</v>
      </c>
      <c r="B3" s="1037"/>
      <c r="C3" s="1037"/>
      <c r="D3" s="1037"/>
      <c r="E3" s="1037"/>
      <c r="F3" s="1037"/>
      <c r="G3" s="57"/>
      <c r="H3" s="57"/>
    </row>
    <row r="4" spans="1:8" ht="15.75">
      <c r="A4" s="1037" t="s">
        <v>52</v>
      </c>
      <c r="B4" s="1037"/>
      <c r="C4" s="1037"/>
      <c r="D4" s="1037"/>
      <c r="E4" s="1037"/>
      <c r="F4" s="1037"/>
    </row>
    <row r="5" spans="1:8" ht="15.75">
      <c r="A5" s="361"/>
      <c r="B5" s="361"/>
      <c r="C5" s="361"/>
      <c r="D5" s="361"/>
      <c r="E5" s="361"/>
      <c r="F5" s="361"/>
    </row>
    <row r="6" spans="1:8" s="31" customFormat="1" ht="15.75">
      <c r="A6" s="373" t="s">
        <v>214</v>
      </c>
      <c r="B6" s="374"/>
      <c r="C6" s="374"/>
      <c r="D6" s="374"/>
      <c r="E6" s="374"/>
      <c r="F6" s="375" t="s">
        <v>213</v>
      </c>
    </row>
    <row r="7" spans="1:8" ht="45" customHeight="1">
      <c r="A7" s="179" t="s">
        <v>183</v>
      </c>
      <c r="B7" s="179" t="s">
        <v>615</v>
      </c>
      <c r="C7" s="179" t="s">
        <v>616</v>
      </c>
      <c r="D7" s="179" t="s">
        <v>116</v>
      </c>
      <c r="E7" s="179" t="s">
        <v>182</v>
      </c>
      <c r="F7" s="509" t="s">
        <v>181</v>
      </c>
    </row>
    <row r="8" spans="1:8" ht="20.25" customHeight="1" thickBot="1">
      <c r="A8" s="178">
        <v>-20</v>
      </c>
      <c r="B8" s="340">
        <v>8</v>
      </c>
      <c r="C8" s="340">
        <v>142</v>
      </c>
      <c r="D8" s="341">
        <f>Table_Default__XLS_TAB_15_2[[#This Row],[HUSBD_CNT]]+Table_Default__XLS_TAB_15_2[[#This Row],[WIFE_CNT]]</f>
        <v>150</v>
      </c>
      <c r="E8" s="345">
        <v>5.859375</v>
      </c>
      <c r="F8" s="539">
        <v>-20</v>
      </c>
    </row>
    <row r="9" spans="1:8" ht="20.25" customHeight="1" thickBot="1">
      <c r="A9" s="177" t="s">
        <v>128</v>
      </c>
      <c r="B9" s="342">
        <v>196</v>
      </c>
      <c r="C9" s="342">
        <v>442</v>
      </c>
      <c r="D9" s="341">
        <f>Table_Default__XLS_TAB_15_2[[#This Row],[HUSBD_CNT]]+Table_Default__XLS_TAB_15_2[[#This Row],[WIFE_CNT]]</f>
        <v>638</v>
      </c>
      <c r="E9" s="346">
        <v>24.921875</v>
      </c>
      <c r="F9" s="540" t="s">
        <v>128</v>
      </c>
    </row>
    <row r="10" spans="1:8" ht="20.25" customHeight="1" thickBot="1">
      <c r="A10" s="177" t="s">
        <v>127</v>
      </c>
      <c r="B10" s="342">
        <v>511</v>
      </c>
      <c r="C10" s="342">
        <v>445</v>
      </c>
      <c r="D10" s="341">
        <f>Table_Default__XLS_TAB_15_2[[#This Row],[HUSBD_CNT]]+Table_Default__XLS_TAB_15_2[[#This Row],[WIFE_CNT]]</f>
        <v>956</v>
      </c>
      <c r="E10" s="346">
        <v>37.34375</v>
      </c>
      <c r="F10" s="540" t="s">
        <v>127</v>
      </c>
    </row>
    <row r="11" spans="1:8" ht="20.25" customHeight="1" thickBot="1">
      <c r="A11" s="177" t="s">
        <v>126</v>
      </c>
      <c r="B11" s="342">
        <v>305</v>
      </c>
      <c r="C11" s="342">
        <v>219</v>
      </c>
      <c r="D11" s="341">
        <f>Table_Default__XLS_TAB_15_2[[#This Row],[HUSBD_CNT]]+Table_Default__XLS_TAB_15_2[[#This Row],[WIFE_CNT]]</f>
        <v>524</v>
      </c>
      <c r="E11" s="346">
        <v>20.46875</v>
      </c>
      <c r="F11" s="540" t="s">
        <v>126</v>
      </c>
    </row>
    <row r="12" spans="1:8" ht="20.25" customHeight="1" thickBot="1">
      <c r="A12" s="177" t="s">
        <v>125</v>
      </c>
      <c r="B12" s="342">
        <v>95</v>
      </c>
      <c r="C12" s="342">
        <v>88</v>
      </c>
      <c r="D12" s="341">
        <f>Table_Default__XLS_TAB_15_2[[#This Row],[HUSBD_CNT]]+Table_Default__XLS_TAB_15_2[[#This Row],[WIFE_CNT]]</f>
        <v>183</v>
      </c>
      <c r="E12" s="346">
        <v>7.1484375</v>
      </c>
      <c r="F12" s="540" t="s">
        <v>125</v>
      </c>
    </row>
    <row r="13" spans="1:8" ht="20.25" customHeight="1" thickBot="1">
      <c r="A13" s="177" t="s">
        <v>124</v>
      </c>
      <c r="B13" s="342">
        <v>25</v>
      </c>
      <c r="C13" s="342">
        <v>40</v>
      </c>
      <c r="D13" s="341">
        <f>Table_Default__XLS_TAB_15_2[[#This Row],[HUSBD_CNT]]+Table_Default__XLS_TAB_15_2[[#This Row],[WIFE_CNT]]</f>
        <v>65</v>
      </c>
      <c r="E13" s="346">
        <v>2.5390625</v>
      </c>
      <c r="F13" s="540" t="s">
        <v>124</v>
      </c>
    </row>
    <row r="14" spans="1:8" ht="20.25" customHeight="1" thickBot="1">
      <c r="A14" s="177" t="s">
        <v>123</v>
      </c>
      <c r="B14" s="342">
        <v>11</v>
      </c>
      <c r="C14" s="342">
        <v>16</v>
      </c>
      <c r="D14" s="341">
        <f>Table_Default__XLS_TAB_15_2[[#This Row],[HUSBD_CNT]]+Table_Default__XLS_TAB_15_2[[#This Row],[WIFE_CNT]]</f>
        <v>27</v>
      </c>
      <c r="E14" s="346">
        <v>1.0546875</v>
      </c>
      <c r="F14" s="540" t="s">
        <v>123</v>
      </c>
    </row>
    <row r="15" spans="1:8" ht="20.25" customHeight="1" thickBot="1">
      <c r="A15" s="177" t="s">
        <v>122</v>
      </c>
      <c r="B15" s="342">
        <v>5</v>
      </c>
      <c r="C15" s="342">
        <v>5</v>
      </c>
      <c r="D15" s="341">
        <f>Table_Default__XLS_TAB_15_2[[#This Row],[HUSBD_CNT]]+Table_Default__XLS_TAB_15_2[[#This Row],[WIFE_CNT]]</f>
        <v>10</v>
      </c>
      <c r="E15" s="346">
        <v>0.390625</v>
      </c>
      <c r="F15" s="540" t="s">
        <v>122</v>
      </c>
    </row>
    <row r="16" spans="1:8" ht="20.25" customHeight="1" thickBot="1">
      <c r="A16" s="177" t="s">
        <v>180</v>
      </c>
      <c r="B16" s="342">
        <v>5</v>
      </c>
      <c r="C16" s="342">
        <v>2</v>
      </c>
      <c r="D16" s="341">
        <f>Table_Default__XLS_TAB_15_2[[#This Row],[HUSBD_CNT]]+Table_Default__XLS_TAB_15_2[[#This Row],[WIFE_CNT]]</f>
        <v>7</v>
      </c>
      <c r="E16" s="346">
        <v>0.2734375</v>
      </c>
      <c r="F16" s="540" t="s">
        <v>180</v>
      </c>
    </row>
    <row r="17" spans="1:6" ht="20.25" customHeight="1">
      <c r="A17" s="353" t="s">
        <v>15</v>
      </c>
      <c r="B17" s="343">
        <v>0</v>
      </c>
      <c r="C17" s="343">
        <v>0</v>
      </c>
      <c r="D17" s="423">
        <f>Table_Default__XLS_TAB_15_2[[#This Row],[HUSBD_CNT]]+Table_Default__XLS_TAB_15_2[[#This Row],[WIFE_CNT]]</f>
        <v>0</v>
      </c>
      <c r="E17" s="354">
        <v>0</v>
      </c>
      <c r="F17" s="541" t="s">
        <v>16</v>
      </c>
    </row>
    <row r="18" spans="1:6" ht="20.25" customHeight="1">
      <c r="A18" s="932" t="s">
        <v>17</v>
      </c>
      <c r="B18" s="934">
        <f>SUBTOTAL(109,Table_Default__XLS_TAB_15_2[HUSBD_CNT])</f>
        <v>1161</v>
      </c>
      <c r="C18" s="934">
        <f>SUBTOTAL(109,Table_Default__XLS_TAB_15_2[WIFE_CNT])</f>
        <v>1399</v>
      </c>
      <c r="D18" s="934">
        <f>SUBTOTAL(109,Table_Default__XLS_TAB_15_2[TOTAL])</f>
        <v>2560</v>
      </c>
      <c r="E18" s="935">
        <f>SUBTOTAL(109,Table_Default__XLS_TAB_15_2[PSTG])</f>
        <v>100</v>
      </c>
      <c r="F18" s="933" t="s">
        <v>56</v>
      </c>
    </row>
    <row r="19" spans="1:6" ht="20.25" customHeight="1">
      <c r="A19" s="480"/>
      <c r="B19" s="481"/>
      <c r="C19" s="481"/>
      <c r="D19" s="481"/>
      <c r="E19" s="482"/>
      <c r="F19" s="483"/>
    </row>
    <row r="20" spans="1:6" s="316" customFormat="1"/>
  </sheetData>
  <mergeCells count="4">
    <mergeCell ref="A1:F1"/>
    <mergeCell ref="A2:F2"/>
    <mergeCell ref="A3:F3"/>
    <mergeCell ref="A4:F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85"/>
  <sheetViews>
    <sheetView rightToLeft="1" view="pageBreakPreview" zoomScaleNormal="100" zoomScaleSheetLayoutView="100" workbookViewId="0">
      <selection activeCell="M18" sqref="M18"/>
    </sheetView>
  </sheetViews>
  <sheetFormatPr defaultColWidth="9.140625" defaultRowHeight="12.75"/>
  <cols>
    <col min="1" max="1" width="40.5703125" style="5" customWidth="1"/>
    <col min="2" max="3" width="9.140625" style="634"/>
    <col min="4" max="4" width="41.5703125" style="5" customWidth="1"/>
    <col min="5" max="16384" width="9.140625" style="5"/>
  </cols>
  <sheetData>
    <row r="1" spans="1:4" ht="31.5" customHeight="1">
      <c r="A1" s="985" t="s">
        <v>875</v>
      </c>
      <c r="B1" s="985"/>
      <c r="C1" s="985"/>
      <c r="D1" s="985"/>
    </row>
    <row r="2" spans="1:4" ht="7.5" customHeight="1">
      <c r="A2" s="677"/>
      <c r="B2" s="676"/>
    </row>
    <row r="3" spans="1:4" ht="45.75" customHeight="1">
      <c r="A3" s="663" t="s">
        <v>874</v>
      </c>
      <c r="B3" s="664" t="s">
        <v>873</v>
      </c>
      <c r="C3" s="664" t="s">
        <v>868</v>
      </c>
      <c r="D3" s="663" t="s">
        <v>872</v>
      </c>
    </row>
    <row r="4" spans="1:4" ht="20.25" customHeight="1">
      <c r="A4" s="675"/>
      <c r="B4" s="674"/>
      <c r="C4" s="674"/>
      <c r="D4" s="673"/>
    </row>
    <row r="5" spans="1:4" s="637" customFormat="1" ht="30.75" customHeight="1">
      <c r="A5" s="645" t="s">
        <v>1211</v>
      </c>
      <c r="B5" s="643">
        <v>1</v>
      </c>
      <c r="C5" s="643">
        <v>2</v>
      </c>
      <c r="D5" s="672" t="s">
        <v>1212</v>
      </c>
    </row>
    <row r="6" spans="1:4" s="637" customFormat="1" ht="24">
      <c r="A6" s="645" t="s">
        <v>1213</v>
      </c>
      <c r="B6" s="643">
        <v>2</v>
      </c>
      <c r="C6" s="643">
        <v>5</v>
      </c>
      <c r="D6" s="672" t="s">
        <v>1214</v>
      </c>
    </row>
    <row r="7" spans="1:4" s="637" customFormat="1" ht="25.5">
      <c r="A7" s="645" t="s">
        <v>1215</v>
      </c>
      <c r="B7" s="643">
        <v>3</v>
      </c>
      <c r="C7" s="643">
        <v>7</v>
      </c>
      <c r="D7" s="672" t="s">
        <v>1038</v>
      </c>
    </row>
    <row r="8" spans="1:4" s="637" customFormat="1" ht="16.5" customHeight="1">
      <c r="A8" s="645" t="s">
        <v>1216</v>
      </c>
      <c r="B8" s="643">
        <v>4</v>
      </c>
      <c r="C8" s="643">
        <v>9</v>
      </c>
      <c r="D8" s="672" t="s">
        <v>1217</v>
      </c>
    </row>
    <row r="9" spans="1:4" s="637" customFormat="1" ht="36">
      <c r="A9" s="645" t="s">
        <v>1218</v>
      </c>
      <c r="B9" s="643">
        <v>5</v>
      </c>
      <c r="C9" s="643">
        <v>11</v>
      </c>
      <c r="D9" s="672" t="s">
        <v>1219</v>
      </c>
    </row>
    <row r="10" spans="1:4" s="637" customFormat="1">
      <c r="A10" s="645" t="s">
        <v>1220</v>
      </c>
      <c r="B10" s="643">
        <v>6</v>
      </c>
      <c r="C10" s="643">
        <v>14</v>
      </c>
      <c r="D10" s="672" t="s">
        <v>1221</v>
      </c>
    </row>
    <row r="11" spans="1:4" s="637" customFormat="1" ht="25.5">
      <c r="A11" s="645" t="s">
        <v>1222</v>
      </c>
      <c r="B11" s="643">
        <v>7</v>
      </c>
      <c r="C11" s="643">
        <v>35</v>
      </c>
      <c r="D11" s="672" t="s">
        <v>1223</v>
      </c>
    </row>
    <row r="12" spans="1:4" s="637" customFormat="1" ht="24">
      <c r="A12" s="645" t="s">
        <v>1224</v>
      </c>
      <c r="B12" s="643">
        <v>8</v>
      </c>
      <c r="C12" s="643">
        <v>39</v>
      </c>
      <c r="D12" s="672" t="s">
        <v>1225</v>
      </c>
    </row>
    <row r="13" spans="1:4" s="637" customFormat="1" ht="25.5">
      <c r="A13" s="645" t="s">
        <v>1226</v>
      </c>
      <c r="B13" s="643">
        <v>9</v>
      </c>
      <c r="C13" s="643">
        <v>45</v>
      </c>
      <c r="D13" s="672" t="s">
        <v>1102</v>
      </c>
    </row>
    <row r="14" spans="1:4" s="637" customFormat="1">
      <c r="A14" s="645" t="s">
        <v>1227</v>
      </c>
      <c r="B14" s="643">
        <v>10</v>
      </c>
      <c r="C14" s="643">
        <v>50</v>
      </c>
      <c r="D14" s="672" t="s">
        <v>1228</v>
      </c>
    </row>
    <row r="15" spans="1:4" s="637" customFormat="1" ht="36">
      <c r="A15" s="645" t="s">
        <v>1229</v>
      </c>
      <c r="B15" s="643">
        <v>11</v>
      </c>
      <c r="C15" s="643">
        <v>52</v>
      </c>
      <c r="D15" s="672" t="s">
        <v>1230</v>
      </c>
    </row>
    <row r="16" spans="1:4" s="637" customFormat="1" ht="24">
      <c r="A16" s="645" t="s">
        <v>1231</v>
      </c>
      <c r="B16" s="643">
        <v>12</v>
      </c>
      <c r="C16" s="643">
        <v>54</v>
      </c>
      <c r="D16" s="672" t="s">
        <v>1232</v>
      </c>
    </row>
    <row r="17" spans="1:4" s="637" customFormat="1">
      <c r="A17" s="645" t="s">
        <v>1233</v>
      </c>
      <c r="B17" s="643">
        <v>13</v>
      </c>
      <c r="C17" s="643">
        <v>56</v>
      </c>
      <c r="D17" s="672" t="s">
        <v>1234</v>
      </c>
    </row>
    <row r="18" spans="1:4" s="637" customFormat="1">
      <c r="A18" s="645" t="s">
        <v>1235</v>
      </c>
      <c r="B18" s="643">
        <v>14</v>
      </c>
      <c r="C18" s="643">
        <v>57</v>
      </c>
      <c r="D18" s="672" t="s">
        <v>1236</v>
      </c>
    </row>
    <row r="19" spans="1:4" s="637" customFormat="1" ht="24">
      <c r="A19" s="645" t="s">
        <v>1161</v>
      </c>
      <c r="B19" s="643">
        <v>15</v>
      </c>
      <c r="C19" s="643">
        <v>84</v>
      </c>
      <c r="D19" s="672" t="s">
        <v>1237</v>
      </c>
    </row>
    <row r="20" spans="1:4" s="637" customFormat="1" ht="25.5">
      <c r="A20" s="645" t="s">
        <v>1238</v>
      </c>
      <c r="B20" s="643">
        <v>16</v>
      </c>
      <c r="C20" s="643">
        <v>89</v>
      </c>
      <c r="D20" s="672" t="s">
        <v>1239</v>
      </c>
    </row>
    <row r="21" spans="1:4" s="637" customFormat="1" ht="24">
      <c r="A21" s="645" t="s">
        <v>1240</v>
      </c>
      <c r="B21" s="643">
        <v>17</v>
      </c>
      <c r="C21" s="643">
        <v>96</v>
      </c>
      <c r="D21" s="672" t="s">
        <v>1241</v>
      </c>
    </row>
    <row r="22" spans="1:4" s="637" customFormat="1" ht="36">
      <c r="A22" s="645" t="s">
        <v>1183</v>
      </c>
      <c r="B22" s="643">
        <v>18</v>
      </c>
      <c r="C22" s="643">
        <v>98</v>
      </c>
      <c r="D22" s="672" t="s">
        <v>1242</v>
      </c>
    </row>
    <row r="23" spans="1:4" s="637" customFormat="1" ht="36">
      <c r="A23" s="645" t="s">
        <v>1185</v>
      </c>
      <c r="B23" s="643">
        <v>19</v>
      </c>
      <c r="C23" s="643">
        <v>100</v>
      </c>
      <c r="D23" s="672" t="s">
        <v>1243</v>
      </c>
    </row>
    <row r="24" spans="1:4" s="637" customFormat="1" ht="25.5">
      <c r="A24" s="645" t="s">
        <v>1187</v>
      </c>
      <c r="B24" s="643">
        <v>20</v>
      </c>
      <c r="C24" s="643">
        <v>102</v>
      </c>
      <c r="D24" s="672" t="s">
        <v>1188</v>
      </c>
    </row>
    <row r="25" spans="1:4" s="637" customFormat="1" ht="25.5">
      <c r="A25" s="645" t="s">
        <v>1189</v>
      </c>
      <c r="B25" s="643">
        <v>21</v>
      </c>
      <c r="C25" s="643">
        <v>104</v>
      </c>
      <c r="D25" s="672" t="s">
        <v>1190</v>
      </c>
    </row>
    <row r="26" spans="1:4" s="637" customFormat="1" ht="25.5">
      <c r="A26" s="645" t="s">
        <v>1191</v>
      </c>
      <c r="B26" s="643">
        <v>22</v>
      </c>
      <c r="C26" s="643">
        <v>106</v>
      </c>
      <c r="D26" s="672" t="s">
        <v>1192</v>
      </c>
    </row>
    <row r="27" spans="1:4" s="637" customFormat="1" ht="25.5">
      <c r="A27" s="645" t="s">
        <v>1193</v>
      </c>
      <c r="B27" s="643">
        <v>23</v>
      </c>
      <c r="C27" s="643">
        <v>108</v>
      </c>
      <c r="D27" s="672" t="s">
        <v>1194</v>
      </c>
    </row>
    <row r="28" spans="1:4" s="637" customFormat="1" ht="25.5">
      <c r="A28" s="641" t="s">
        <v>1201</v>
      </c>
      <c r="B28" s="639">
        <v>24</v>
      </c>
      <c r="C28" s="639">
        <v>113</v>
      </c>
      <c r="D28" s="671" t="s">
        <v>1202</v>
      </c>
    </row>
    <row r="55" spans="1:1">
      <c r="A55" s="5" t="s">
        <v>1115</v>
      </c>
    </row>
    <row r="56" spans="1:1">
      <c r="A56" s="5" t="s">
        <v>1117</v>
      </c>
    </row>
    <row r="57" spans="1:1" ht="25.5">
      <c r="A57" s="670" t="s">
        <v>1119</v>
      </c>
    </row>
    <row r="84" spans="1:4" ht="13.5" thickBot="1">
      <c r="A84" s="669"/>
      <c r="B84" s="668"/>
      <c r="C84" s="668"/>
      <c r="D84" s="667"/>
    </row>
    <row r="85" spans="1:4" ht="13.5" thickTop="1"/>
  </sheetData>
  <mergeCells count="1">
    <mergeCell ref="A1:D1"/>
  </mergeCells>
  <hyperlinks>
    <hyperlink ref="A5:D5" location="'GR-1'!A1" display="'GR-1'!A1"/>
    <hyperlink ref="A6:D6" location="'GR-2'!A1" display="'GR-2'!A1"/>
    <hyperlink ref="A7:D7" location="'GR-3'!A1" display="معدلات الزواج والطلاق الخام (2000 - 2009)"/>
    <hyperlink ref="A8:D8" location="'GR-4'!A1" display="معدل الزواج العام (2000 - 2009)"/>
    <hyperlink ref="A9:D9" location="'GR-5'!A1" display="عقود الزواج حسب جنسية الزوج والزوجة ومكان إقامة الزوج (2009)"/>
    <hyperlink ref="A10:D10" location="'GR-6'!A1" display="عقود الزواج المسجلة حسب جنسية الزوج (2009)"/>
    <hyperlink ref="A11:D11" location="'GR-7'!A1" display="عقود الزواج المسجلة حسب الحالة التعليمية للزوجة و الزوج (2009)"/>
    <hyperlink ref="A12:D12" location="'GR-8 '!Print_Area" display="عقود الزواج المسجلة حسب مهنة الزوج والزوجة (2010)"/>
    <hyperlink ref="A14:D14" location="'GR-10'!Print_Area" display="معدل الطلاق العام (2001 - 2010)"/>
    <hyperlink ref="A15:D15" location="'GR11'!Print_Area" display="إشهادات الطلاق حسب جنسية الزوج والزوجة ومكان إقامة الزوج (2010)"/>
    <hyperlink ref="A16:D16" location="'GR12'!Print_Area" display="أشهادات الطلاق حسب جنسية الزوج والشهر (2010)"/>
    <hyperlink ref="A17:D17" location="'GR13'!Print_Area" display="أشهادات الطلاق حسب نوع الطلاق (2010) ) (قطريون)"/>
    <hyperlink ref="A18:D18" location="'GR14'!Print_Area" display="أشهادات الطلاق حسب جنسية الزوج (2010)"/>
    <hyperlink ref="A19:D19" location="'GR15'!Print_Area" display="أشهادات الطلاق حسب جنسية الزوجة والزوج (2010)"/>
    <hyperlink ref="A20:D20" location="'GR16'!Print_Area" display="أشهادات الطلاق حسب الحالة التعليمية للزوجة والزوج (2010)"/>
    <hyperlink ref="A21:D21" location="'GR17'!Print_Area" display="أشهادات الطلاق حسب مهنة الزوجة والزوج (2010)"/>
    <hyperlink ref="A22:D22" location="'GR18'!Print_Area" display="إشهادات الطلاق للقطريين حسب صلة القرابة وفئة عمر الزوج والزوجة (القرابة من الدرجة الأولى) (2010)"/>
    <hyperlink ref="A23:D23" location="'GR19'!Print_Area" display="إشهادات الطلاق للقطريين حسب صلة القرابة وفئة عمر الزوج والزوجة (القرابة من الدرجة الثانية) (2010)"/>
    <hyperlink ref="A24:D24" location="'GR20'!Print_Area" display="إشهادات الطلاق للقطريين حسب صلة القرابة وفئة عمر الزوج والزوجة (لا توجد صلة قرابة) (2010)"/>
    <hyperlink ref="A25:D25" location="'GR21'!Print_Area" display="عدد الأبناء للمطلقة حسب فئة عمرالزوج والزوجة (قطريات) (2010)"/>
    <hyperlink ref="A26:D26" location="'GR22'!Print_Area" display="عدد الأبناء للمطلقة حسب فئة عمرالزوج والزوجة (غير قطريات) (2010)"/>
    <hyperlink ref="A27:D27" location="'GR23'!Print_Area" display="عدد الأبناء للمطلقة حسب فئة عمرالزوج والزوجة (المجموع) (2010)"/>
    <hyperlink ref="A13:D13" location="'GR9'!Print_Area" display="عقود الزواج حسب عدد أبناء الزوجة وجنسية الزوج والزوجة (2010)"/>
    <hyperlink ref="A28:D28" location="'GR24'!A1" display="إشهادات الطلاق حسب عدد أبناء الزوجة وجنسية الزوج والزوجة (2010)"/>
    <hyperlink ref="D5" r:id="rId1" location="'GR-1'!A1" display="Bulletin_Marriages_Divorces_DB_2013.xlsx - 'GR-1'!A1"/>
    <hyperlink ref="D6" r:id="rId2" location="'GR-2'!A1" display="Bulletin_Marriages_Divorces_DB_2013.xlsx - 'GR-2'!A1"/>
    <hyperlink ref="D7" r:id="rId3" location="'GR-3'!A1" display="Bulletin_Marriages_Divorces_DB_2013.xlsx - 'GR-3'!A1"/>
    <hyperlink ref="D8" r:id="rId4" location="'GR-4'!A1" display="Bulletin_Marriages_Divorces_DB_2013.xlsx - 'GR-4'!A1"/>
    <hyperlink ref="D9" r:id="rId5" location="'GR-5'!A1" display="Bulletin_Marriages_Divorces_DB_2013.xlsx - 'GR-5'!A1"/>
    <hyperlink ref="D10" r:id="rId6" location="'GR-6'!A1" display="Bulletin_Marriages_Divorces_DB_2013.xlsx - 'GR-6'!A1"/>
    <hyperlink ref="D11" r:id="rId7" location="'GR-7'!A1" display="Bulletin_Marriages_Divorces_DB_2013.xlsx - 'GR-7'!A1"/>
    <hyperlink ref="D12" r:id="rId8" location="'GR-8 '!Print_Area" display="Bulletin_Marriages_Divorces_DB_2013.xlsx - 'GR-8 '!Print_Area"/>
    <hyperlink ref="D13" r:id="rId9" location="'GR9'!Print_Area" display="Bulletin_Marriages_Divorces_DB_2013.xlsx - 'GR9'!Print_Area"/>
    <hyperlink ref="D14" r:id="rId10" location="'GR-10'!Print_Area" display="Bulletin_Marriages_Divorces_DB_2013.xlsx - 'GR-10'!Print_Area"/>
    <hyperlink ref="D15" r:id="rId11" location="'GR11'!Print_Area" display="Bulletin_Marriages_Divorces_DB_2013.xlsx - 'GR11'!Print_Area"/>
    <hyperlink ref="D16" r:id="rId12" location="'GR12'!Print_Area" display="Bulletin_Marriages_Divorces_DB_2013.xlsx - 'GR12'!Print_Area"/>
    <hyperlink ref="D17" r:id="rId13" location="'GR13'!Print_Area" display="Bulletin_Marriages_Divorces_DB_2013.xlsx - 'GR13'!Print_Area"/>
    <hyperlink ref="D18" r:id="rId14" location="'GR14'!Print_Area" display="Bulletin_Marriages_Divorces_DB_2013.xlsx - 'GR14'!Print_Area"/>
    <hyperlink ref="D19" r:id="rId15" location="'GR15'!Print_Area" display="Bulletin_Marriages_Divorces_DB_2013.xlsx - 'GR15'!Print_Area"/>
    <hyperlink ref="D20" r:id="rId16" location="'GR16'!Print_Area" display="Bulletin_Marriages_Divorces_DB_2013.xlsx - 'GR16'!Print_Area"/>
    <hyperlink ref="D21" r:id="rId17" location="'GR17'!Print_Area" display="Bulletin_Marriages_Divorces_DB_2013.xlsx - 'GR17'!Print_Area"/>
    <hyperlink ref="D22" r:id="rId18" location="'GR18'!Print_Area" display="Bulletin_Marriages_Divorces_DB_2013.xlsx - 'GR18'!Print_Area"/>
    <hyperlink ref="D23" r:id="rId19" location="'GR19'!Print_Area" display="Bulletin_Marriages_Divorces_DB_2013.xlsx - 'GR19'!Print_Area"/>
    <hyperlink ref="D24" r:id="rId20" location="'GR20'!Print_Area" display="Bulletin_Marriages_Divorces_DB_2013.xlsx - 'GR20'!Print_Area"/>
    <hyperlink ref="D25" r:id="rId21" location="'GR21'!Print_Area" display="Bulletin_Marriages_Divorces_DB_2013.xlsx - 'GR21'!Print_Area"/>
    <hyperlink ref="D26" r:id="rId22" location="'GR22'!Print_Area" display="Bulletin_Marriages_Divorces_DB_2013.xlsx - 'GR22'!Print_Area"/>
    <hyperlink ref="D27" r:id="rId23" location="'GR23'!Print_Area" display="Bulletin_Marriages_Divorces_DB_2013.xlsx - 'GR23'!Print_Area"/>
    <hyperlink ref="D28" r:id="rId24" location="'GR24'!A1" display="Bulletin_Marriages_Divorces_DB_2013.xlsx - 'GR24'!A1"/>
  </hyperlinks>
  <printOptions horizontalCentered="1"/>
  <pageMargins left="0" right="0" top="0.78740157480314965" bottom="0.39370078740157483" header="0.51181102362204722" footer="0.51181102362204722"/>
  <pageSetup paperSize="9" scale="92" orientation="portrait" r:id="rId2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20"/>
  <sheetViews>
    <sheetView rightToLeft="1" view="pageBreakPreview" zoomScaleNormal="100" zoomScaleSheetLayoutView="100" workbookViewId="0">
      <selection activeCell="B15" sqref="B15"/>
    </sheetView>
  </sheetViews>
  <sheetFormatPr defaultColWidth="9.140625" defaultRowHeight="12.75"/>
  <cols>
    <col min="1" max="1" width="27.42578125" style="2" customWidth="1"/>
    <col min="2" max="5" width="19.5703125" style="2" customWidth="1"/>
    <col min="6" max="6" width="26.140625" style="2" customWidth="1"/>
    <col min="7" max="16384" width="9.140625" style="2"/>
  </cols>
  <sheetData>
    <row r="1" spans="1:10" ht="21.75" customHeight="1">
      <c r="A1" s="1009" t="s">
        <v>588</v>
      </c>
      <c r="B1" s="1009"/>
      <c r="C1" s="1110"/>
      <c r="D1" s="1009"/>
      <c r="E1" s="1009"/>
      <c r="F1" s="1009"/>
    </row>
    <row r="2" spans="1:10" ht="15.75">
      <c r="A2" s="1036" t="s">
        <v>587</v>
      </c>
      <c r="B2" s="1036"/>
      <c r="C2" s="1036"/>
      <c r="D2" s="1036"/>
      <c r="E2" s="1036"/>
      <c r="F2" s="1036"/>
    </row>
    <row r="3" spans="1:10" ht="18" customHeight="1">
      <c r="A3" s="1037">
        <v>2019</v>
      </c>
      <c r="B3" s="1037"/>
      <c r="C3" s="1037"/>
      <c r="D3" s="1037"/>
      <c r="E3" s="1037"/>
      <c r="F3" s="1037"/>
      <c r="G3" s="57"/>
      <c r="H3" s="57"/>
      <c r="I3" s="57"/>
      <c r="J3" s="57"/>
    </row>
    <row r="4" spans="1:10" ht="15.75">
      <c r="A4" s="1037" t="s">
        <v>1</v>
      </c>
      <c r="B4" s="1037"/>
      <c r="C4" s="1037"/>
      <c r="D4" s="1037"/>
      <c r="E4" s="1037"/>
      <c r="F4" s="1037"/>
    </row>
    <row r="5" spans="1:10" ht="15.75">
      <c r="A5" s="361"/>
      <c r="B5" s="361"/>
      <c r="C5" s="361"/>
      <c r="D5" s="361"/>
      <c r="E5" s="361"/>
      <c r="F5" s="361"/>
    </row>
    <row r="6" spans="1:10" s="31" customFormat="1" ht="15.75">
      <c r="A6" s="373" t="s">
        <v>225</v>
      </c>
      <c r="B6" s="374"/>
      <c r="C6" s="374"/>
      <c r="D6" s="374"/>
      <c r="E6" s="374"/>
      <c r="F6" s="375" t="s">
        <v>224</v>
      </c>
    </row>
    <row r="7" spans="1:10" ht="45" customHeight="1">
      <c r="A7" s="179" t="s">
        <v>183</v>
      </c>
      <c r="B7" s="179" t="s">
        <v>615</v>
      </c>
      <c r="C7" s="179" t="s">
        <v>616</v>
      </c>
      <c r="D7" s="179" t="s">
        <v>116</v>
      </c>
      <c r="E7" s="179" t="s">
        <v>182</v>
      </c>
      <c r="F7" s="509" t="s">
        <v>181</v>
      </c>
    </row>
    <row r="8" spans="1:10" ht="20.25" customHeight="1" thickBot="1">
      <c r="A8" s="178">
        <v>-20</v>
      </c>
      <c r="B8" s="340">
        <v>37</v>
      </c>
      <c r="C8" s="340">
        <v>370</v>
      </c>
      <c r="D8" s="341">
        <f>Table_Default__XLS_TAB_15_3[[#This Row],[HUSBD_CNT]]+Table_Default__XLS_TAB_15_3[[#This Row],[WIFE_CNT]]</f>
        <v>407</v>
      </c>
      <c r="E8" s="345">
        <v>7.1755994358251058</v>
      </c>
      <c r="F8" s="539">
        <v>-20</v>
      </c>
      <c r="H8" s="316"/>
      <c r="I8" s="314"/>
      <c r="J8" s="314"/>
    </row>
    <row r="9" spans="1:10" ht="20.25" customHeight="1" thickBot="1">
      <c r="A9" s="177" t="s">
        <v>128</v>
      </c>
      <c r="B9" s="342">
        <v>742</v>
      </c>
      <c r="C9" s="342">
        <v>1249</v>
      </c>
      <c r="D9" s="341">
        <f>Table_Default__XLS_TAB_15_3[[#This Row],[HUSBD_CNT]]+Table_Default__XLS_TAB_15_3[[#This Row],[WIFE_CNT]]</f>
        <v>1991</v>
      </c>
      <c r="E9" s="346">
        <v>35.10225669957687</v>
      </c>
      <c r="F9" s="540" t="s">
        <v>128</v>
      </c>
      <c r="H9" s="316"/>
      <c r="I9" s="314"/>
      <c r="J9" s="314"/>
    </row>
    <row r="10" spans="1:10" ht="20.25" customHeight="1" thickBot="1">
      <c r="A10" s="177" t="s">
        <v>127</v>
      </c>
      <c r="B10" s="342">
        <v>1190</v>
      </c>
      <c r="C10" s="342">
        <v>835</v>
      </c>
      <c r="D10" s="341">
        <f>Table_Default__XLS_TAB_15_3[[#This Row],[HUSBD_CNT]]+Table_Default__XLS_TAB_15_3[[#This Row],[WIFE_CNT]]</f>
        <v>2025</v>
      </c>
      <c r="E10" s="346">
        <v>35.701692524682649</v>
      </c>
      <c r="F10" s="540" t="s">
        <v>127</v>
      </c>
      <c r="H10" s="316"/>
      <c r="I10" s="484"/>
      <c r="J10" s="484"/>
    </row>
    <row r="11" spans="1:10" ht="20.25" customHeight="1" thickBot="1">
      <c r="A11" s="177" t="s">
        <v>126</v>
      </c>
      <c r="B11" s="342">
        <v>498</v>
      </c>
      <c r="C11" s="342">
        <v>315</v>
      </c>
      <c r="D11" s="341">
        <f>Table_Default__XLS_TAB_15_3[[#This Row],[HUSBD_CNT]]+Table_Default__XLS_TAB_15_3[[#This Row],[WIFE_CNT]]</f>
        <v>813</v>
      </c>
      <c r="E11" s="346">
        <v>14.333568406205924</v>
      </c>
      <c r="F11" s="540" t="s">
        <v>126</v>
      </c>
      <c r="H11" s="316"/>
      <c r="I11" s="485"/>
      <c r="J11" s="485"/>
    </row>
    <row r="12" spans="1:10" ht="20.25" customHeight="1" thickBot="1">
      <c r="A12" s="177" t="s">
        <v>125</v>
      </c>
      <c r="B12" s="342">
        <v>130</v>
      </c>
      <c r="C12" s="342">
        <v>131</v>
      </c>
      <c r="D12" s="341">
        <f>Table_Default__XLS_TAB_15_3[[#This Row],[HUSBD_CNT]]+Table_Default__XLS_TAB_15_3[[#This Row],[WIFE_CNT]]</f>
        <v>261</v>
      </c>
      <c r="E12" s="346">
        <v>4.6015514809590972</v>
      </c>
      <c r="F12" s="540" t="s">
        <v>125</v>
      </c>
      <c r="H12" s="316"/>
      <c r="I12" s="484"/>
      <c r="J12" s="484"/>
    </row>
    <row r="13" spans="1:10" ht="20.25" customHeight="1" thickBot="1">
      <c r="A13" s="177" t="s">
        <v>124</v>
      </c>
      <c r="B13" s="342">
        <v>41</v>
      </c>
      <c r="C13" s="342">
        <v>52</v>
      </c>
      <c r="D13" s="341">
        <f>Table_Default__XLS_TAB_15_3[[#This Row],[HUSBD_CNT]]+Table_Default__XLS_TAB_15_3[[#This Row],[WIFE_CNT]]</f>
        <v>93</v>
      </c>
      <c r="E13" s="346">
        <v>1.6396332863187588</v>
      </c>
      <c r="F13" s="540" t="s">
        <v>124</v>
      </c>
      <c r="H13" s="316"/>
      <c r="I13" s="485"/>
      <c r="J13" s="485"/>
    </row>
    <row r="14" spans="1:10" ht="20.25" customHeight="1" thickBot="1">
      <c r="A14" s="177" t="s">
        <v>123</v>
      </c>
      <c r="B14" s="342">
        <v>24</v>
      </c>
      <c r="C14" s="342">
        <v>23</v>
      </c>
      <c r="D14" s="341">
        <f>Table_Default__XLS_TAB_15_3[[#This Row],[HUSBD_CNT]]+Table_Default__XLS_TAB_15_3[[#This Row],[WIFE_CNT]]</f>
        <v>47</v>
      </c>
      <c r="E14" s="346">
        <v>0.82863187588152332</v>
      </c>
      <c r="F14" s="540" t="s">
        <v>123</v>
      </c>
      <c r="H14" s="316"/>
      <c r="I14" s="484"/>
      <c r="J14" s="484"/>
    </row>
    <row r="15" spans="1:10" ht="20.25" customHeight="1" thickBot="1">
      <c r="A15" s="177" t="s">
        <v>122</v>
      </c>
      <c r="B15" s="342">
        <v>13</v>
      </c>
      <c r="C15" s="342">
        <v>9</v>
      </c>
      <c r="D15" s="341">
        <f>Table_Default__XLS_TAB_15_3[[#This Row],[HUSBD_CNT]]+Table_Default__XLS_TAB_15_3[[#This Row],[WIFE_CNT]]</f>
        <v>22</v>
      </c>
      <c r="E15" s="346">
        <v>0.38787023977433005</v>
      </c>
      <c r="F15" s="540" t="s">
        <v>122</v>
      </c>
      <c r="H15" s="316"/>
      <c r="I15" s="485"/>
      <c r="J15" s="485"/>
    </row>
    <row r="16" spans="1:10" ht="20.25" customHeight="1" thickBot="1">
      <c r="A16" s="177" t="s">
        <v>180</v>
      </c>
      <c r="B16" s="342">
        <v>8</v>
      </c>
      <c r="C16" s="342">
        <v>5</v>
      </c>
      <c r="D16" s="341">
        <f>Table_Default__XLS_TAB_15_3[[#This Row],[HUSBD_CNT]]+Table_Default__XLS_TAB_15_3[[#This Row],[WIFE_CNT]]</f>
        <v>13</v>
      </c>
      <c r="E16" s="346">
        <v>0.22919605077574048</v>
      </c>
      <c r="F16" s="540" t="s">
        <v>180</v>
      </c>
      <c r="H16" s="316"/>
      <c r="I16" s="484"/>
      <c r="J16" s="484"/>
    </row>
    <row r="17" spans="1:10" ht="20.25" customHeight="1">
      <c r="A17" s="353" t="s">
        <v>15</v>
      </c>
      <c r="B17" s="343">
        <v>0</v>
      </c>
      <c r="C17" s="343">
        <v>0</v>
      </c>
      <c r="D17" s="423">
        <f>Table_Default__XLS_TAB_15_3[[#This Row],[HUSBD_CNT]]+Table_Default__XLS_TAB_15_3[[#This Row],[WIFE_CNT]]</f>
        <v>0</v>
      </c>
      <c r="E17" s="354">
        <v>0</v>
      </c>
      <c r="F17" s="541" t="s">
        <v>16</v>
      </c>
      <c r="H17" s="316"/>
      <c r="I17" s="316"/>
      <c r="J17" s="316"/>
    </row>
    <row r="18" spans="1:10" ht="20.25" customHeight="1">
      <c r="A18" s="932" t="s">
        <v>17</v>
      </c>
      <c r="B18" s="934">
        <f>SUBTOTAL(109,Table_Default__XLS_TAB_15_3[HUSBD_CNT])</f>
        <v>2683</v>
      </c>
      <c r="C18" s="934">
        <f>SUBTOTAL(109,Table_Default__XLS_TAB_15_3[WIFE_CNT])</f>
        <v>2989</v>
      </c>
      <c r="D18" s="934">
        <f>SUBTOTAL(109,Table_Default__XLS_TAB_15_3[TOTAL])</f>
        <v>5672</v>
      </c>
      <c r="E18" s="935">
        <f>SUBTOTAL(109,Table_Default__XLS_TAB_15_3[PSTG])</f>
        <v>100</v>
      </c>
      <c r="F18" s="933" t="s">
        <v>56</v>
      </c>
    </row>
    <row r="19" spans="1:10" ht="20.25" customHeight="1">
      <c r="A19" s="480"/>
      <c r="B19" s="481"/>
      <c r="C19" s="481"/>
      <c r="D19" s="481"/>
      <c r="E19" s="482"/>
      <c r="F19" s="483"/>
    </row>
    <row r="20" spans="1:10">
      <c r="A20" s="316"/>
      <c r="B20" s="316"/>
      <c r="C20" s="316"/>
      <c r="D20" s="316"/>
      <c r="E20" s="316"/>
      <c r="F20" s="316"/>
    </row>
  </sheetData>
  <mergeCells count="4">
    <mergeCell ref="A1:F1"/>
    <mergeCell ref="A2:F2"/>
    <mergeCell ref="A3:F3"/>
    <mergeCell ref="A4:F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L18"/>
  <sheetViews>
    <sheetView rightToLeft="1" view="pageBreakPreview" topLeftCell="A2" zoomScaleNormal="75" zoomScaleSheetLayoutView="100" workbookViewId="0">
      <selection activeCell="J17" sqref="J17"/>
    </sheetView>
  </sheetViews>
  <sheetFormatPr defaultColWidth="9.140625" defaultRowHeight="12.75"/>
  <cols>
    <col min="1" max="1" width="16" style="2" customWidth="1"/>
    <col min="2" max="4" width="10.42578125" style="2" customWidth="1"/>
    <col min="5" max="5" width="11" style="2" customWidth="1"/>
    <col min="6" max="9" width="10.42578125" style="2" customWidth="1"/>
    <col min="10" max="10" width="8.42578125" style="2" customWidth="1"/>
    <col min="11" max="11" width="11" style="2" customWidth="1"/>
    <col min="12" max="12" width="19.42578125" style="2" customWidth="1"/>
    <col min="13" max="16384" width="9.140625" style="2"/>
  </cols>
  <sheetData>
    <row r="1" spans="1:12" ht="24" customHeight="1">
      <c r="A1" s="1009" t="s">
        <v>212</v>
      </c>
      <c r="B1" s="1009"/>
      <c r="C1" s="1009"/>
      <c r="D1" s="1009"/>
      <c r="E1" s="1009"/>
      <c r="F1" s="1009"/>
      <c r="G1" s="1009"/>
      <c r="H1" s="1009"/>
      <c r="I1" s="1009"/>
      <c r="J1" s="1009"/>
      <c r="K1" s="1009"/>
      <c r="L1" s="1009"/>
    </row>
    <row r="2" spans="1:12" s="3" customFormat="1" ht="18">
      <c r="A2" s="1036" t="s">
        <v>211</v>
      </c>
      <c r="B2" s="1036"/>
      <c r="C2" s="1036"/>
      <c r="D2" s="1036"/>
      <c r="E2" s="1036"/>
      <c r="F2" s="1036"/>
      <c r="G2" s="1036"/>
      <c r="H2" s="1036"/>
      <c r="I2" s="1036"/>
      <c r="J2" s="1036"/>
      <c r="K2" s="1036"/>
      <c r="L2" s="1036"/>
    </row>
    <row r="3" spans="1:12" ht="15.75">
      <c r="A3" s="1037">
        <v>2019</v>
      </c>
      <c r="B3" s="1037"/>
      <c r="C3" s="1037"/>
      <c r="D3" s="1037"/>
      <c r="E3" s="1037"/>
      <c r="F3" s="1037"/>
      <c r="G3" s="1037"/>
      <c r="H3" s="1037"/>
      <c r="I3" s="1037"/>
      <c r="J3" s="1037"/>
      <c r="K3" s="1037"/>
      <c r="L3" s="1037"/>
    </row>
    <row r="4" spans="1:12" ht="15.75">
      <c r="A4" s="1037" t="s">
        <v>53</v>
      </c>
      <c r="B4" s="1037"/>
      <c r="C4" s="1037"/>
      <c r="D4" s="1037"/>
      <c r="E4" s="1037"/>
      <c r="F4" s="1037"/>
      <c r="G4" s="1037"/>
      <c r="H4" s="1037"/>
      <c r="I4" s="1037"/>
      <c r="J4" s="1037"/>
      <c r="K4" s="1037"/>
      <c r="L4" s="1037"/>
    </row>
    <row r="5" spans="1:12" ht="15.75">
      <c r="A5" s="361"/>
      <c r="B5" s="361"/>
      <c r="C5" s="361"/>
      <c r="D5" s="361"/>
      <c r="E5" s="361"/>
      <c r="F5" s="361"/>
      <c r="G5" s="361"/>
      <c r="H5" s="361"/>
      <c r="I5" s="361"/>
      <c r="J5" s="361"/>
      <c r="K5" s="361"/>
      <c r="L5" s="361"/>
    </row>
    <row r="6" spans="1:12" s="31" customFormat="1" ht="15.75">
      <c r="A6" s="373" t="s">
        <v>245</v>
      </c>
      <c r="B6" s="374"/>
      <c r="C6" s="374"/>
      <c r="D6" s="374"/>
      <c r="E6" s="374"/>
      <c r="F6" s="374"/>
      <c r="G6" s="374"/>
      <c r="H6" s="374"/>
      <c r="I6" s="374"/>
      <c r="J6" s="374"/>
      <c r="K6" s="374"/>
      <c r="L6" s="375" t="s">
        <v>244</v>
      </c>
    </row>
    <row r="7" spans="1:12" ht="30.75" customHeight="1" thickBot="1">
      <c r="A7" s="1099" t="s">
        <v>208</v>
      </c>
      <c r="B7" s="1113" t="s">
        <v>207</v>
      </c>
      <c r="C7" s="1113"/>
      <c r="D7" s="1113"/>
      <c r="E7" s="1113"/>
      <c r="F7" s="1113"/>
      <c r="G7" s="1113"/>
      <c r="H7" s="1113"/>
      <c r="I7" s="1113"/>
      <c r="J7" s="1113"/>
      <c r="K7" s="1114" t="s">
        <v>618</v>
      </c>
      <c r="L7" s="1106" t="s">
        <v>206</v>
      </c>
    </row>
    <row r="8" spans="1:12" ht="60.75" customHeight="1">
      <c r="A8" s="1108"/>
      <c r="B8" s="179" t="s">
        <v>625</v>
      </c>
      <c r="C8" s="179" t="s">
        <v>660</v>
      </c>
      <c r="D8" s="179" t="s">
        <v>624</v>
      </c>
      <c r="E8" s="179" t="s">
        <v>623</v>
      </c>
      <c r="F8" s="179" t="s">
        <v>622</v>
      </c>
      <c r="G8" s="179" t="s">
        <v>621</v>
      </c>
      <c r="H8" s="179" t="s">
        <v>620</v>
      </c>
      <c r="I8" s="179" t="s">
        <v>626</v>
      </c>
      <c r="J8" s="179" t="s">
        <v>619</v>
      </c>
      <c r="K8" s="1115"/>
      <c r="L8" s="1109"/>
    </row>
    <row r="9" spans="1:12" ht="22.5" customHeight="1" thickBot="1">
      <c r="A9" s="180" t="s">
        <v>205</v>
      </c>
      <c r="B9" s="344">
        <v>0</v>
      </c>
      <c r="C9" s="344">
        <v>0</v>
      </c>
      <c r="D9" s="344">
        <v>1</v>
      </c>
      <c r="E9" s="344">
        <v>0</v>
      </c>
      <c r="F9" s="344">
        <v>0</v>
      </c>
      <c r="G9" s="344">
        <v>0</v>
      </c>
      <c r="H9" s="344">
        <v>0</v>
      </c>
      <c r="I9" s="344">
        <v>0</v>
      </c>
      <c r="J9" s="478">
        <f>SUM(Table_Default__XLS_TAB_16_1[[#This Row],[ILLITERATE_CNT]:[NOT_STATED_CNT]])</f>
        <v>1</v>
      </c>
      <c r="K9" s="184">
        <f>J9/$J$17%</f>
        <v>4.8146364949446317E-2</v>
      </c>
      <c r="L9" s="181" t="s">
        <v>204</v>
      </c>
    </row>
    <row r="10" spans="1:12" ht="22.5" customHeight="1" thickBot="1">
      <c r="A10" s="131" t="s">
        <v>203</v>
      </c>
      <c r="B10" s="342">
        <v>0</v>
      </c>
      <c r="C10" s="342">
        <v>1</v>
      </c>
      <c r="D10" s="342">
        <v>0</v>
      </c>
      <c r="E10" s="342">
        <v>3</v>
      </c>
      <c r="F10" s="342">
        <v>5</v>
      </c>
      <c r="G10" s="342">
        <v>0</v>
      </c>
      <c r="H10" s="342">
        <v>0</v>
      </c>
      <c r="I10" s="342">
        <v>0</v>
      </c>
      <c r="J10" s="478">
        <f>SUM(Table_Default__XLS_TAB_16_1[[#This Row],[ILLITERATE_CNT]:[NOT_STATED_CNT]])</f>
        <v>9</v>
      </c>
      <c r="K10" s="303">
        <f t="shared" ref="K10:K16" si="0">J10/$J$17%</f>
        <v>0.43331728454501683</v>
      </c>
      <c r="L10" s="63" t="s">
        <v>202</v>
      </c>
    </row>
    <row r="11" spans="1:12" ht="22.5" customHeight="1" thickBot="1">
      <c r="A11" s="130" t="s">
        <v>201</v>
      </c>
      <c r="B11" s="342">
        <v>4</v>
      </c>
      <c r="C11" s="342">
        <v>0</v>
      </c>
      <c r="D11" s="342">
        <v>12</v>
      </c>
      <c r="E11" s="342">
        <v>17</v>
      </c>
      <c r="F11" s="342">
        <v>33</v>
      </c>
      <c r="G11" s="342">
        <v>0</v>
      </c>
      <c r="H11" s="342">
        <v>9</v>
      </c>
      <c r="I11" s="342">
        <v>0</v>
      </c>
      <c r="J11" s="478">
        <f>SUM(Table_Default__XLS_TAB_16_1[[#This Row],[ILLITERATE_CNT]:[NOT_STATED_CNT]])</f>
        <v>75</v>
      </c>
      <c r="K11" s="184">
        <f t="shared" si="0"/>
        <v>3.6109773712084738</v>
      </c>
      <c r="L11" s="62" t="s">
        <v>200</v>
      </c>
    </row>
    <row r="12" spans="1:12" ht="22.5" customHeight="1" thickBot="1">
      <c r="A12" s="131" t="s">
        <v>199</v>
      </c>
      <c r="B12" s="342">
        <v>0</v>
      </c>
      <c r="C12" s="342">
        <v>7</v>
      </c>
      <c r="D12" s="342">
        <v>18</v>
      </c>
      <c r="E12" s="342">
        <v>50</v>
      </c>
      <c r="F12" s="342">
        <v>108</v>
      </c>
      <c r="G12" s="342">
        <v>5</v>
      </c>
      <c r="H12" s="342">
        <v>28</v>
      </c>
      <c r="I12" s="342">
        <v>1</v>
      </c>
      <c r="J12" s="478">
        <f>SUM(Table_Default__XLS_TAB_16_1[[#This Row],[ILLITERATE_CNT]:[NOT_STATED_CNT]])</f>
        <v>217</v>
      </c>
      <c r="K12" s="303">
        <f t="shared" si="0"/>
        <v>10.447761194029852</v>
      </c>
      <c r="L12" s="63" t="s">
        <v>198</v>
      </c>
    </row>
    <row r="13" spans="1:12" ht="22.5" customHeight="1" thickBot="1">
      <c r="A13" s="130" t="s">
        <v>197</v>
      </c>
      <c r="B13" s="342">
        <v>1</v>
      </c>
      <c r="C13" s="342">
        <v>2</v>
      </c>
      <c r="D13" s="342">
        <v>28</v>
      </c>
      <c r="E13" s="342">
        <v>96</v>
      </c>
      <c r="F13" s="342">
        <v>530</v>
      </c>
      <c r="G13" s="342">
        <v>3</v>
      </c>
      <c r="H13" s="342">
        <v>176</v>
      </c>
      <c r="I13" s="342">
        <v>2</v>
      </c>
      <c r="J13" s="478">
        <f>SUM(Table_Default__XLS_TAB_16_1[[#This Row],[ILLITERATE_CNT]:[NOT_STATED_CNT]])</f>
        <v>838</v>
      </c>
      <c r="K13" s="184">
        <f t="shared" si="0"/>
        <v>40.346653827636011</v>
      </c>
      <c r="L13" s="62" t="s">
        <v>196</v>
      </c>
    </row>
    <row r="14" spans="1:12" ht="22.5" customHeight="1" thickBot="1">
      <c r="A14" s="384" t="s">
        <v>559</v>
      </c>
      <c r="B14" s="342">
        <v>0</v>
      </c>
      <c r="C14" s="342">
        <v>0</v>
      </c>
      <c r="D14" s="342">
        <v>0</v>
      </c>
      <c r="E14" s="342">
        <v>3</v>
      </c>
      <c r="F14" s="342">
        <v>37</v>
      </c>
      <c r="G14" s="342">
        <v>2</v>
      </c>
      <c r="H14" s="342">
        <v>24</v>
      </c>
      <c r="I14" s="342">
        <v>0</v>
      </c>
      <c r="J14" s="478">
        <f>SUM(Table_Default__XLS_TAB_16_1[[#This Row],[ILLITERATE_CNT]:[NOT_STATED_CNT]])</f>
        <v>66</v>
      </c>
      <c r="K14" s="303">
        <f t="shared" si="0"/>
        <v>3.1776600866634568</v>
      </c>
      <c r="L14" s="385" t="s">
        <v>560</v>
      </c>
    </row>
    <row r="15" spans="1:12" ht="22.5" customHeight="1" thickBot="1">
      <c r="A15" s="130" t="s">
        <v>195</v>
      </c>
      <c r="B15" s="342">
        <v>1</v>
      </c>
      <c r="C15" s="342">
        <v>0</v>
      </c>
      <c r="D15" s="342">
        <v>3</v>
      </c>
      <c r="E15" s="342">
        <v>24</v>
      </c>
      <c r="F15" s="342">
        <v>456</v>
      </c>
      <c r="G15" s="342">
        <v>8</v>
      </c>
      <c r="H15" s="342">
        <v>370</v>
      </c>
      <c r="I15" s="342">
        <v>3</v>
      </c>
      <c r="J15" s="478">
        <f>SUM(Table_Default__XLS_TAB_16_1[[#This Row],[ILLITERATE_CNT]:[NOT_STATED_CNT]])</f>
        <v>865</v>
      </c>
      <c r="K15" s="184">
        <f t="shared" si="0"/>
        <v>41.646605681271062</v>
      </c>
      <c r="L15" s="62" t="s">
        <v>194</v>
      </c>
    </row>
    <row r="16" spans="1:12" ht="22.5" customHeight="1">
      <c r="A16" s="132" t="s">
        <v>15</v>
      </c>
      <c r="B16" s="343">
        <v>0</v>
      </c>
      <c r="C16" s="343">
        <v>0</v>
      </c>
      <c r="D16" s="343">
        <v>0</v>
      </c>
      <c r="E16" s="343">
        <v>2</v>
      </c>
      <c r="F16" s="343">
        <v>2</v>
      </c>
      <c r="G16" s="343">
        <v>0</v>
      </c>
      <c r="H16" s="343">
        <v>2</v>
      </c>
      <c r="I16" s="343">
        <v>0</v>
      </c>
      <c r="J16" s="931">
        <f>SUM(Table_Default__XLS_TAB_16_1[[#This Row],[ILLITERATE_CNT]:[NOT_STATED_CNT]])</f>
        <v>6</v>
      </c>
      <c r="K16" s="285">
        <f t="shared" si="0"/>
        <v>0.28887818969667789</v>
      </c>
      <c r="L16" s="61" t="s">
        <v>193</v>
      </c>
    </row>
    <row r="17" spans="1:12" ht="22.5" customHeight="1" thickBot="1">
      <c r="A17" s="182" t="s">
        <v>17</v>
      </c>
      <c r="B17" s="930">
        <f>SUBTOTAL(109,Table_Default__XLS_TAB_16_1[ILLITERATE_CNT])</f>
        <v>6</v>
      </c>
      <c r="C17" s="930">
        <f>SUBTOTAL(109,Table_Default__XLS_TAB_16_1[READ_AND_WRITE_CNT])</f>
        <v>10</v>
      </c>
      <c r="D17" s="930">
        <f>SUBTOTAL(109,Table_Default__XLS_TAB_16_1[PRIMARY_CNT])</f>
        <v>62</v>
      </c>
      <c r="E17" s="930">
        <f>SUBTOTAL(109,Table_Default__XLS_TAB_16_1[PREPARATORY_CNT])</f>
        <v>195</v>
      </c>
      <c r="F17" s="930">
        <f>SUBTOTAL(109,Table_Default__XLS_TAB_16_1[SECONDARY_CNT])</f>
        <v>1171</v>
      </c>
      <c r="G17" s="930">
        <f>SUBTOTAL(109,Table_Default__XLS_TAB_16_1[PRE_UNIVERSITY_CNT])</f>
        <v>18</v>
      </c>
      <c r="H17" s="930">
        <f>SUBTOTAL(109,Table_Default__XLS_TAB_16_1[UNIV_ABOVE_CNT])</f>
        <v>609</v>
      </c>
      <c r="I17" s="930">
        <f>SUBTOTAL(109,Table_Default__XLS_TAB_16_1[NOT_STATED_CNT])</f>
        <v>6</v>
      </c>
      <c r="J17" s="930">
        <f>SUBTOTAL(109,Table_Default__XLS_TAB_16_1[TOTAL])</f>
        <v>2077</v>
      </c>
      <c r="K17" s="420">
        <f>SUM(K9:K16)</f>
        <v>100</v>
      </c>
      <c r="L17" s="183" t="s">
        <v>56</v>
      </c>
    </row>
    <row r="18" spans="1:12" ht="21.75" customHeight="1">
      <c r="A18" s="486" t="s">
        <v>191</v>
      </c>
      <c r="B18" s="487">
        <f>Table_Default__XLS_TAB_16_1[[#Totals],[ILLITERATE_CNT]]/Table_Default__XLS_TAB_16_1[[#Totals],[TOTAL]]%</f>
        <v>0.28887818969667789</v>
      </c>
      <c r="C18" s="487">
        <f>Table_Default__XLS_TAB_16_1[[#Totals],[READ_AND_WRITE_CNT]]/Table_Default__XLS_TAB_16_1[[#Totals],[TOTAL]]%</f>
        <v>0.48146364949446319</v>
      </c>
      <c r="D18" s="487">
        <f>Table_Default__XLS_TAB_16_1[[#Totals],[PRIMARY_CNT]]/Table_Default__XLS_TAB_16_1[[#Totals],[TOTAL]]%</f>
        <v>2.9850746268656718</v>
      </c>
      <c r="E18" s="487">
        <f>Table_Default__XLS_TAB_16_1[[#Totals],[PREPARATORY_CNT]]/Table_Default__XLS_TAB_16_1[[#Totals],[TOTAL]]%</f>
        <v>9.3885411651420316</v>
      </c>
      <c r="F18" s="487">
        <f>Table_Default__XLS_TAB_16_1[[#Totals],[SECONDARY_CNT]]/Table_Default__XLS_TAB_16_1[[#Totals],[TOTAL]]%</f>
        <v>56.379393355801639</v>
      </c>
      <c r="G18" s="487">
        <f>Table_Default__XLS_TAB_16_1[[#Totals],[PRE_UNIVERSITY_CNT]]/Table_Default__XLS_TAB_16_1[[#Totals],[TOTAL]]%</f>
        <v>0.86663456909003367</v>
      </c>
      <c r="H18" s="487">
        <f>Table_Default__XLS_TAB_16_1[[#Totals],[UNIV_ABOVE_CNT]]/Table_Default__XLS_TAB_16_1[[#Totals],[TOTAL]]%</f>
        <v>29.321136254212806</v>
      </c>
      <c r="I18" s="487">
        <f>Table_Default__XLS_TAB_16_1[[#Totals],[NOT_STATED_CNT]]/Table_Default__XLS_TAB_16_1[[#Totals],[TOTAL]]%</f>
        <v>0.28887818969667789</v>
      </c>
      <c r="J18" s="487">
        <f>SUM(B18:I18)</f>
        <v>100</v>
      </c>
      <c r="K18" s="1111" t="s">
        <v>102</v>
      </c>
      <c r="L18" s="1112"/>
    </row>
  </sheetData>
  <mergeCells count="9">
    <mergeCell ref="K18:L18"/>
    <mergeCell ref="A1:L1"/>
    <mergeCell ref="A2:L2"/>
    <mergeCell ref="A3:L3"/>
    <mergeCell ref="A7:A8"/>
    <mergeCell ref="L7:L8"/>
    <mergeCell ref="B7:J7"/>
    <mergeCell ref="K7:K8"/>
    <mergeCell ref="A4:L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L18"/>
  <sheetViews>
    <sheetView rightToLeft="1" view="pageBreakPreview" topLeftCell="A4" zoomScaleNormal="75" zoomScaleSheetLayoutView="100" workbookViewId="0">
      <selection activeCell="J18" sqref="J18"/>
    </sheetView>
  </sheetViews>
  <sheetFormatPr defaultColWidth="9.140625" defaultRowHeight="12.75"/>
  <cols>
    <col min="1" max="1" width="16" style="2" customWidth="1"/>
    <col min="2" max="4" width="10.42578125" style="2" customWidth="1"/>
    <col min="5" max="5" width="11" style="2" customWidth="1"/>
    <col min="6" max="9" width="10.42578125" style="2" customWidth="1"/>
    <col min="10" max="10" width="8.42578125" style="2" customWidth="1"/>
    <col min="11" max="11" width="11" style="2" customWidth="1"/>
    <col min="12" max="12" width="19.42578125" style="2" customWidth="1"/>
    <col min="13" max="16384" width="9.140625" style="2"/>
  </cols>
  <sheetData>
    <row r="1" spans="1:12" ht="24" customHeight="1">
      <c r="A1" s="1009" t="s">
        <v>212</v>
      </c>
      <c r="B1" s="1009"/>
      <c r="C1" s="1009"/>
      <c r="D1" s="1009"/>
      <c r="E1" s="1009"/>
      <c r="F1" s="1009"/>
      <c r="G1" s="1009"/>
      <c r="H1" s="1009"/>
      <c r="I1" s="1009"/>
      <c r="J1" s="1009"/>
      <c r="K1" s="1009"/>
      <c r="L1" s="1009"/>
    </row>
    <row r="2" spans="1:12" s="3" customFormat="1" ht="18">
      <c r="A2" s="1036" t="s">
        <v>211</v>
      </c>
      <c r="B2" s="1036"/>
      <c r="C2" s="1036"/>
      <c r="D2" s="1036"/>
      <c r="E2" s="1036"/>
      <c r="F2" s="1036"/>
      <c r="G2" s="1036"/>
      <c r="H2" s="1036"/>
      <c r="I2" s="1036"/>
      <c r="J2" s="1036"/>
      <c r="K2" s="1036"/>
      <c r="L2" s="1036"/>
    </row>
    <row r="3" spans="1:12" ht="15.75">
      <c r="A3" s="1037">
        <v>2019</v>
      </c>
      <c r="B3" s="1037"/>
      <c r="C3" s="1037"/>
      <c r="D3" s="1037"/>
      <c r="E3" s="1037"/>
      <c r="F3" s="1037"/>
      <c r="G3" s="1037"/>
      <c r="H3" s="1037"/>
      <c r="I3" s="1037"/>
      <c r="J3" s="1037"/>
      <c r="K3" s="1037"/>
      <c r="L3" s="1037"/>
    </row>
    <row r="4" spans="1:12" ht="15.75">
      <c r="A4" s="1037" t="s">
        <v>52</v>
      </c>
      <c r="B4" s="1037"/>
      <c r="C4" s="1037"/>
      <c r="D4" s="1037"/>
      <c r="E4" s="1037"/>
      <c r="F4" s="1037"/>
      <c r="G4" s="1037"/>
      <c r="H4" s="1037"/>
      <c r="I4" s="1037"/>
      <c r="J4" s="1037"/>
      <c r="K4" s="1037"/>
      <c r="L4" s="1037"/>
    </row>
    <row r="5" spans="1:12" ht="15.75">
      <c r="A5" s="361"/>
      <c r="B5" s="361"/>
      <c r="C5" s="361"/>
      <c r="D5" s="361"/>
      <c r="E5" s="361"/>
      <c r="F5" s="361"/>
      <c r="G5" s="361"/>
      <c r="H5" s="361"/>
      <c r="I5" s="361"/>
      <c r="J5" s="361"/>
      <c r="K5" s="361"/>
      <c r="L5" s="361"/>
    </row>
    <row r="6" spans="1:12" s="31" customFormat="1" ht="15.75">
      <c r="A6" s="373" t="s">
        <v>249</v>
      </c>
      <c r="B6" s="374"/>
      <c r="C6" s="374"/>
      <c r="D6" s="374"/>
      <c r="E6" s="374"/>
      <c r="F6" s="374"/>
      <c r="G6" s="374"/>
      <c r="H6" s="374"/>
      <c r="I6" s="374"/>
      <c r="J6" s="374"/>
      <c r="K6" s="374"/>
      <c r="L6" s="375" t="s">
        <v>248</v>
      </c>
    </row>
    <row r="7" spans="1:12" ht="30.75" customHeight="1" thickBot="1">
      <c r="A7" s="1099" t="s">
        <v>208</v>
      </c>
      <c r="B7" s="1113" t="s">
        <v>207</v>
      </c>
      <c r="C7" s="1113"/>
      <c r="D7" s="1113"/>
      <c r="E7" s="1113"/>
      <c r="F7" s="1113"/>
      <c r="G7" s="1113"/>
      <c r="H7" s="1113"/>
      <c r="I7" s="1113"/>
      <c r="J7" s="1113"/>
      <c r="K7" s="1114" t="s">
        <v>618</v>
      </c>
      <c r="L7" s="1106" t="s">
        <v>206</v>
      </c>
    </row>
    <row r="8" spans="1:12" ht="60.75" customHeight="1">
      <c r="A8" s="1108"/>
      <c r="B8" s="179" t="s">
        <v>625</v>
      </c>
      <c r="C8" s="324" t="s">
        <v>735</v>
      </c>
      <c r="D8" s="179" t="s">
        <v>624</v>
      </c>
      <c r="E8" s="179" t="s">
        <v>623</v>
      </c>
      <c r="F8" s="179" t="s">
        <v>622</v>
      </c>
      <c r="G8" s="179" t="s">
        <v>621</v>
      </c>
      <c r="H8" s="179" t="s">
        <v>620</v>
      </c>
      <c r="I8" s="179" t="s">
        <v>626</v>
      </c>
      <c r="J8" s="179" t="s">
        <v>619</v>
      </c>
      <c r="K8" s="1115"/>
      <c r="L8" s="1109"/>
    </row>
    <row r="9" spans="1:12" ht="22.5" customHeight="1" thickBot="1">
      <c r="A9" s="180" t="s">
        <v>205</v>
      </c>
      <c r="B9" s="347">
        <v>0</v>
      </c>
      <c r="C9" s="340">
        <v>1</v>
      </c>
      <c r="D9" s="340">
        <v>0</v>
      </c>
      <c r="E9" s="340">
        <v>0</v>
      </c>
      <c r="F9" s="340">
        <v>0</v>
      </c>
      <c r="G9" s="340">
        <v>0</v>
      </c>
      <c r="H9" s="340">
        <v>1</v>
      </c>
      <c r="I9" s="340">
        <v>0</v>
      </c>
      <c r="J9" s="488">
        <f>SUM(Table_Default__XLS_TAB_16_2[[#This Row],[ILLITERATE_CNT]:[NOT_STATED_CNT]])</f>
        <v>2</v>
      </c>
      <c r="K9" s="184">
        <f>J9/$J$17%</f>
        <v>0.1295336787564767</v>
      </c>
      <c r="L9" s="181" t="s">
        <v>204</v>
      </c>
    </row>
    <row r="10" spans="1:12" ht="22.5" customHeight="1" thickBot="1">
      <c r="A10" s="131" t="s">
        <v>203</v>
      </c>
      <c r="B10" s="348">
        <v>0</v>
      </c>
      <c r="C10" s="342">
        <v>2</v>
      </c>
      <c r="D10" s="342">
        <v>1</v>
      </c>
      <c r="E10" s="342">
        <v>0</v>
      </c>
      <c r="F10" s="342">
        <v>1</v>
      </c>
      <c r="G10" s="342">
        <v>0</v>
      </c>
      <c r="H10" s="342">
        <v>2</v>
      </c>
      <c r="I10" s="342">
        <v>0</v>
      </c>
      <c r="J10" s="488">
        <f>SUM(Table_Default__XLS_TAB_16_2[[#This Row],[ILLITERATE_CNT]:[NOT_STATED_CNT]])</f>
        <v>6</v>
      </c>
      <c r="K10" s="9">
        <f t="shared" ref="K10:K16" si="0">J10/$J$17%</f>
        <v>0.38860103626943004</v>
      </c>
      <c r="L10" s="63" t="s">
        <v>202</v>
      </c>
    </row>
    <row r="11" spans="1:12" ht="22.5" customHeight="1" thickBot="1">
      <c r="A11" s="130" t="s">
        <v>201</v>
      </c>
      <c r="B11" s="348">
        <v>0</v>
      </c>
      <c r="C11" s="342">
        <v>2</v>
      </c>
      <c r="D11" s="342">
        <v>15</v>
      </c>
      <c r="E11" s="342">
        <v>8</v>
      </c>
      <c r="F11" s="342">
        <v>20</v>
      </c>
      <c r="G11" s="342">
        <v>3</v>
      </c>
      <c r="H11" s="342">
        <v>8</v>
      </c>
      <c r="I11" s="342">
        <v>1</v>
      </c>
      <c r="J11" s="488">
        <f>SUM(Table_Default__XLS_TAB_16_2[[#This Row],[ILLITERATE_CNT]:[NOT_STATED_CNT]])</f>
        <v>57</v>
      </c>
      <c r="K11" s="10">
        <f t="shared" si="0"/>
        <v>3.6917098445595857</v>
      </c>
      <c r="L11" s="62" t="s">
        <v>200</v>
      </c>
    </row>
    <row r="12" spans="1:12" ht="22.5" customHeight="1" thickBot="1">
      <c r="A12" s="131" t="s">
        <v>199</v>
      </c>
      <c r="B12" s="348">
        <v>2</v>
      </c>
      <c r="C12" s="342">
        <v>6</v>
      </c>
      <c r="D12" s="342">
        <v>14</v>
      </c>
      <c r="E12" s="342">
        <v>34</v>
      </c>
      <c r="F12" s="342">
        <v>50</v>
      </c>
      <c r="G12" s="342">
        <v>4</v>
      </c>
      <c r="H12" s="342">
        <v>14</v>
      </c>
      <c r="I12" s="342">
        <v>1</v>
      </c>
      <c r="J12" s="488">
        <f>SUM(Table_Default__XLS_TAB_16_2[[#This Row],[ILLITERATE_CNT]:[NOT_STATED_CNT]])</f>
        <v>125</v>
      </c>
      <c r="K12" s="9">
        <f t="shared" si="0"/>
        <v>8.0958549222797931</v>
      </c>
      <c r="L12" s="63" t="s">
        <v>198</v>
      </c>
    </row>
    <row r="13" spans="1:12" ht="22.5" customHeight="1" thickBot="1">
      <c r="A13" s="130" t="s">
        <v>197</v>
      </c>
      <c r="B13" s="348">
        <v>6</v>
      </c>
      <c r="C13" s="342">
        <v>3</v>
      </c>
      <c r="D13" s="342">
        <v>25</v>
      </c>
      <c r="E13" s="342">
        <v>41</v>
      </c>
      <c r="F13" s="342">
        <v>254</v>
      </c>
      <c r="G13" s="342">
        <v>14</v>
      </c>
      <c r="H13" s="342">
        <v>144</v>
      </c>
      <c r="I13" s="342">
        <v>0</v>
      </c>
      <c r="J13" s="488">
        <f>SUM(Table_Default__XLS_TAB_16_2[[#This Row],[ILLITERATE_CNT]:[NOT_STATED_CNT]])</f>
        <v>487</v>
      </c>
      <c r="K13" s="10">
        <f t="shared" si="0"/>
        <v>31.541450777202073</v>
      </c>
      <c r="L13" s="62" t="s">
        <v>196</v>
      </c>
    </row>
    <row r="14" spans="1:12" ht="22.5" customHeight="1" thickBot="1">
      <c r="A14" s="384" t="s">
        <v>559</v>
      </c>
      <c r="B14" s="348">
        <v>0</v>
      </c>
      <c r="C14" s="342">
        <v>0</v>
      </c>
      <c r="D14" s="342">
        <v>0</v>
      </c>
      <c r="E14" s="342">
        <v>5</v>
      </c>
      <c r="F14" s="342">
        <v>19</v>
      </c>
      <c r="G14" s="342">
        <v>7</v>
      </c>
      <c r="H14" s="342">
        <v>36</v>
      </c>
      <c r="I14" s="342">
        <v>0</v>
      </c>
      <c r="J14" s="488">
        <f>SUM(Table_Default__XLS_TAB_16_2[[#This Row],[ILLITERATE_CNT]:[NOT_STATED_CNT]])</f>
        <v>67</v>
      </c>
      <c r="K14" s="9">
        <f t="shared" si="0"/>
        <v>4.3393782383419692</v>
      </c>
      <c r="L14" s="385" t="s">
        <v>560</v>
      </c>
    </row>
    <row r="15" spans="1:12" ht="22.5" customHeight="1" thickBot="1">
      <c r="A15" s="130" t="s">
        <v>195</v>
      </c>
      <c r="B15" s="348">
        <v>1</v>
      </c>
      <c r="C15" s="342">
        <v>1</v>
      </c>
      <c r="D15" s="342">
        <v>4</v>
      </c>
      <c r="E15" s="342">
        <v>11</v>
      </c>
      <c r="F15" s="342">
        <v>203</v>
      </c>
      <c r="G15" s="342">
        <v>32</v>
      </c>
      <c r="H15" s="342">
        <v>547</v>
      </c>
      <c r="I15" s="342">
        <v>0</v>
      </c>
      <c r="J15" s="488">
        <f>SUM(Table_Default__XLS_TAB_16_2[[#This Row],[ILLITERATE_CNT]:[NOT_STATED_CNT]])</f>
        <v>799</v>
      </c>
      <c r="K15" s="10">
        <f t="shared" si="0"/>
        <v>51.748704663212436</v>
      </c>
      <c r="L15" s="62" t="s">
        <v>194</v>
      </c>
    </row>
    <row r="16" spans="1:12" ht="22.5" customHeight="1">
      <c r="A16" s="132" t="s">
        <v>15</v>
      </c>
      <c r="B16" s="349">
        <v>0</v>
      </c>
      <c r="C16" s="343">
        <v>0</v>
      </c>
      <c r="D16" s="343">
        <v>0</v>
      </c>
      <c r="E16" s="343">
        <v>0</v>
      </c>
      <c r="F16" s="343">
        <v>1</v>
      </c>
      <c r="G16" s="343">
        <v>0</v>
      </c>
      <c r="H16" s="343">
        <v>0</v>
      </c>
      <c r="I16" s="343">
        <v>0</v>
      </c>
      <c r="J16" s="489">
        <f>SUM(Table_Default__XLS_TAB_16_2[[#This Row],[ILLITERATE_CNT]:[NOT_STATED_CNT]])</f>
        <v>1</v>
      </c>
      <c r="K16" s="60">
        <f t="shared" si="0"/>
        <v>6.476683937823835E-2</v>
      </c>
      <c r="L16" s="61" t="s">
        <v>193</v>
      </c>
    </row>
    <row r="17" spans="1:12" ht="22.5" customHeight="1" thickBot="1">
      <c r="A17" s="182" t="s">
        <v>17</v>
      </c>
      <c r="B17" s="928">
        <f>SUBTOTAL(109,Table_Default__XLS_TAB_16_2[ILLITERATE_CNT])</f>
        <v>9</v>
      </c>
      <c r="C17" s="929">
        <f>SUBTOTAL(109,Table_Default__XLS_TAB_16_2[READ_AND_WRITE_CNT])</f>
        <v>15</v>
      </c>
      <c r="D17" s="929">
        <f>SUBTOTAL(109,Table_Default__XLS_TAB_16_2[PRIMARY_CNT])</f>
        <v>59</v>
      </c>
      <c r="E17" s="929">
        <f>SUBTOTAL(109,Table_Default__XLS_TAB_16_2[PREPARATORY_CNT])</f>
        <v>99</v>
      </c>
      <c r="F17" s="929">
        <f>SUBTOTAL(109,Table_Default__XLS_TAB_16_2[SECONDARY_CNT])</f>
        <v>548</v>
      </c>
      <c r="G17" s="929">
        <f>SUBTOTAL(109,Table_Default__XLS_TAB_16_2[PRE_UNIVERSITY_CNT])</f>
        <v>60</v>
      </c>
      <c r="H17" s="929">
        <f>SUBTOTAL(109,Table_Default__XLS_TAB_16_2[UNIV_ABOVE_CNT])</f>
        <v>752</v>
      </c>
      <c r="I17" s="929">
        <f>SUBTOTAL(109,Table_Default__XLS_TAB_16_2[NOT_STATED_CNT])</f>
        <v>2</v>
      </c>
      <c r="J17" s="930">
        <f>SUBTOTAL(109,Table_Default__XLS_TAB_16_2[TOTAL])</f>
        <v>1544</v>
      </c>
      <c r="K17" s="420">
        <f>J17/$J$17%</f>
        <v>100</v>
      </c>
      <c r="L17" s="183" t="s">
        <v>56</v>
      </c>
    </row>
    <row r="18" spans="1:12" ht="21.75" customHeight="1">
      <c r="A18" s="486" t="s">
        <v>191</v>
      </c>
      <c r="B18" s="487">
        <f>Table_Default__XLS_TAB_16_2[[#Totals],[ILLITERATE_CNT]]/Table_Default__XLS_TAB_16_2[[#Totals],[TOTAL]]%</f>
        <v>0.58290155440414515</v>
      </c>
      <c r="C18" s="487">
        <f>Table_Default__XLS_TAB_16_2[[#Totals],[READ_AND_WRITE_CNT]]/Table_Default__XLS_TAB_16_2[[#Totals],[TOTAL]]%</f>
        <v>0.97150259067357514</v>
      </c>
      <c r="D18" s="487">
        <f>Table_Default__XLS_TAB_16_2[[#Totals],[PRIMARY_CNT]]/Table_Default__XLS_TAB_16_2[[#Totals],[TOTAL]]%</f>
        <v>3.8212435233160624</v>
      </c>
      <c r="E18" s="487">
        <f>Table_Default__XLS_TAB_16_2[[#Totals],[PREPARATORY_CNT]]/Table_Default__XLS_TAB_16_2[[#Totals],[TOTAL]]%</f>
        <v>6.4119170984455964</v>
      </c>
      <c r="F18" s="487">
        <f>Table_Default__XLS_TAB_16_2[[#Totals],[SECONDARY_CNT]]/Table_Default__XLS_TAB_16_2[[#Totals],[TOTAL]]%</f>
        <v>35.49222797927461</v>
      </c>
      <c r="G18" s="487">
        <f>Table_Default__XLS_TAB_16_2[[#Totals],[PRE_UNIVERSITY_CNT]]/Table_Default__XLS_TAB_16_2[[#Totals],[TOTAL]]%</f>
        <v>3.8860103626943006</v>
      </c>
      <c r="H18" s="487">
        <f>Table_Default__XLS_TAB_16_2[[#Totals],[UNIV_ABOVE_CNT]]/Table_Default__XLS_TAB_16_2[[#Totals],[TOTAL]]%</f>
        <v>48.704663212435236</v>
      </c>
      <c r="I18" s="487">
        <f>Table_Default__XLS_TAB_16_2[[#Totals],[NOT_STATED_CNT]]/Table_Default__XLS_TAB_16_2[[#Totals],[TOTAL]]%</f>
        <v>0.1295336787564767</v>
      </c>
      <c r="J18" s="487">
        <f>SUM(B18:I18)</f>
        <v>100</v>
      </c>
      <c r="K18" s="1116" t="s">
        <v>190</v>
      </c>
      <c r="L18" s="1111"/>
    </row>
  </sheetData>
  <mergeCells count="9">
    <mergeCell ref="K18:L18"/>
    <mergeCell ref="A1:L1"/>
    <mergeCell ref="A2:L2"/>
    <mergeCell ref="A3:L3"/>
    <mergeCell ref="A4:L4"/>
    <mergeCell ref="A7:A8"/>
    <mergeCell ref="B7:J7"/>
    <mergeCell ref="K7:K8"/>
    <mergeCell ref="L7:L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34"/>
  <sheetViews>
    <sheetView rightToLeft="1" view="pageBreakPreview" topLeftCell="A4" zoomScaleNormal="75" zoomScaleSheetLayoutView="100" workbookViewId="0">
      <selection activeCell="J18" sqref="J18"/>
    </sheetView>
  </sheetViews>
  <sheetFormatPr defaultColWidth="9.140625" defaultRowHeight="12.75"/>
  <cols>
    <col min="1" max="1" width="16" style="2" customWidth="1"/>
    <col min="2" max="4" width="10.42578125" style="2" customWidth="1"/>
    <col min="5" max="5" width="11" style="2" customWidth="1"/>
    <col min="6" max="9" width="10.42578125" style="2" customWidth="1"/>
    <col min="10" max="10" width="8.42578125" style="2" customWidth="1"/>
    <col min="11" max="11" width="11" style="2" customWidth="1"/>
    <col min="12" max="12" width="19.42578125" style="2" customWidth="1"/>
    <col min="13" max="16384" width="9.140625" style="2"/>
  </cols>
  <sheetData>
    <row r="1" spans="1:12" ht="24" customHeight="1">
      <c r="A1" s="1009" t="s">
        <v>212</v>
      </c>
      <c r="B1" s="1009"/>
      <c r="C1" s="1009"/>
      <c r="D1" s="1009"/>
      <c r="E1" s="1009"/>
      <c r="F1" s="1009"/>
      <c r="G1" s="1009"/>
      <c r="H1" s="1009"/>
      <c r="I1" s="1009"/>
      <c r="J1" s="1009"/>
      <c r="K1" s="1009"/>
      <c r="L1" s="1009"/>
    </row>
    <row r="2" spans="1:12" s="3" customFormat="1" ht="18">
      <c r="A2" s="1036" t="s">
        <v>211</v>
      </c>
      <c r="B2" s="1036"/>
      <c r="C2" s="1036"/>
      <c r="D2" s="1036"/>
      <c r="E2" s="1036"/>
      <c r="F2" s="1036"/>
      <c r="G2" s="1036"/>
      <c r="H2" s="1036"/>
      <c r="I2" s="1036"/>
      <c r="J2" s="1036"/>
      <c r="K2" s="1036"/>
      <c r="L2" s="1036"/>
    </row>
    <row r="3" spans="1:12" ht="15.75">
      <c r="A3" s="1037">
        <v>2019</v>
      </c>
      <c r="B3" s="1037"/>
      <c r="C3" s="1037"/>
      <c r="D3" s="1037"/>
      <c r="E3" s="1037"/>
      <c r="F3" s="1037"/>
      <c r="G3" s="1037"/>
      <c r="H3" s="1037"/>
      <c r="I3" s="1037"/>
      <c r="J3" s="1037"/>
      <c r="K3" s="1037"/>
      <c r="L3" s="1037"/>
    </row>
    <row r="4" spans="1:12" ht="15.75">
      <c r="A4" s="1037" t="s">
        <v>1</v>
      </c>
      <c r="B4" s="1037"/>
      <c r="C4" s="1037"/>
      <c r="D4" s="1037"/>
      <c r="E4" s="1037"/>
      <c r="F4" s="1037"/>
      <c r="G4" s="1037"/>
      <c r="H4" s="1037"/>
      <c r="I4" s="1037"/>
      <c r="J4" s="1037"/>
      <c r="K4" s="1037"/>
      <c r="L4" s="1037"/>
    </row>
    <row r="5" spans="1:12" ht="15.75">
      <c r="A5" s="361"/>
      <c r="B5" s="361"/>
      <c r="C5" s="361"/>
      <c r="D5" s="361"/>
      <c r="E5" s="361"/>
      <c r="F5" s="361"/>
      <c r="G5" s="361"/>
      <c r="H5" s="361"/>
      <c r="I5" s="361"/>
      <c r="J5" s="361"/>
      <c r="K5" s="361"/>
      <c r="L5" s="361"/>
    </row>
    <row r="6" spans="1:12" s="31" customFormat="1" ht="15.75">
      <c r="A6" s="373" t="s">
        <v>262</v>
      </c>
      <c r="B6" s="374"/>
      <c r="C6" s="374"/>
      <c r="D6" s="374"/>
      <c r="E6" s="374"/>
      <c r="F6" s="374"/>
      <c r="G6" s="374"/>
      <c r="H6" s="374"/>
      <c r="I6" s="374"/>
      <c r="J6" s="374"/>
      <c r="K6" s="374"/>
      <c r="L6" s="375" t="s">
        <v>261</v>
      </c>
    </row>
    <row r="7" spans="1:12" ht="30.75" customHeight="1" thickBot="1">
      <c r="A7" s="1099" t="s">
        <v>208</v>
      </c>
      <c r="B7" s="1113" t="s">
        <v>207</v>
      </c>
      <c r="C7" s="1113"/>
      <c r="D7" s="1113"/>
      <c r="E7" s="1113"/>
      <c r="F7" s="1113"/>
      <c r="G7" s="1113"/>
      <c r="H7" s="1113"/>
      <c r="I7" s="1113"/>
      <c r="J7" s="1113"/>
      <c r="K7" s="1114" t="s">
        <v>618</v>
      </c>
      <c r="L7" s="1106" t="s">
        <v>206</v>
      </c>
    </row>
    <row r="8" spans="1:12" ht="60.75" customHeight="1">
      <c r="A8" s="1108"/>
      <c r="B8" s="179" t="s">
        <v>625</v>
      </c>
      <c r="C8" s="324" t="s">
        <v>735</v>
      </c>
      <c r="D8" s="179" t="s">
        <v>624</v>
      </c>
      <c r="E8" s="179" t="s">
        <v>623</v>
      </c>
      <c r="F8" s="179" t="s">
        <v>622</v>
      </c>
      <c r="G8" s="179" t="s">
        <v>621</v>
      </c>
      <c r="H8" s="179" t="s">
        <v>620</v>
      </c>
      <c r="I8" s="179" t="s">
        <v>626</v>
      </c>
      <c r="J8" s="179" t="s">
        <v>619</v>
      </c>
      <c r="K8" s="1115"/>
      <c r="L8" s="1109"/>
    </row>
    <row r="9" spans="1:12" ht="22.5" customHeight="1" thickBot="1">
      <c r="A9" s="180" t="s">
        <v>205</v>
      </c>
      <c r="B9" s="347">
        <v>0</v>
      </c>
      <c r="C9" s="340">
        <v>1</v>
      </c>
      <c r="D9" s="340">
        <v>1</v>
      </c>
      <c r="E9" s="340">
        <v>0</v>
      </c>
      <c r="F9" s="340">
        <v>0</v>
      </c>
      <c r="G9" s="340">
        <v>0</v>
      </c>
      <c r="H9" s="340">
        <v>1</v>
      </c>
      <c r="I9" s="340">
        <v>0</v>
      </c>
      <c r="J9" s="488">
        <f>SUM(Table_Default__XLS_TAB_16_3[[#This Row],[ILLITERATE_CNT]:[NOT_STATED_CNT]])</f>
        <v>3</v>
      </c>
      <c r="K9" s="184">
        <f>J9/$J$17%</f>
        <v>8.2850041425020712E-2</v>
      </c>
      <c r="L9" s="181" t="s">
        <v>204</v>
      </c>
    </row>
    <row r="10" spans="1:12" ht="22.5" customHeight="1" thickBot="1">
      <c r="A10" s="131" t="s">
        <v>203</v>
      </c>
      <c r="B10" s="348">
        <v>0</v>
      </c>
      <c r="C10" s="342">
        <v>3</v>
      </c>
      <c r="D10" s="342">
        <v>1</v>
      </c>
      <c r="E10" s="342">
        <v>3</v>
      </c>
      <c r="F10" s="342">
        <v>6</v>
      </c>
      <c r="G10" s="342">
        <v>0</v>
      </c>
      <c r="H10" s="342">
        <v>2</v>
      </c>
      <c r="I10" s="342">
        <v>0</v>
      </c>
      <c r="J10" s="488">
        <f>SUM(Table_Default__XLS_TAB_16_3[[#This Row],[ILLITERATE_CNT]:[NOT_STATED_CNT]])</f>
        <v>15</v>
      </c>
      <c r="K10" s="303">
        <f t="shared" ref="K10:K16" si="0">J10/$J$17%</f>
        <v>0.41425020712510358</v>
      </c>
      <c r="L10" s="63" t="s">
        <v>202</v>
      </c>
    </row>
    <row r="11" spans="1:12" ht="22.5" customHeight="1" thickBot="1">
      <c r="A11" s="130" t="s">
        <v>201</v>
      </c>
      <c r="B11" s="348">
        <v>4</v>
      </c>
      <c r="C11" s="342">
        <v>2</v>
      </c>
      <c r="D11" s="342">
        <v>27</v>
      </c>
      <c r="E11" s="342">
        <v>25</v>
      </c>
      <c r="F11" s="342">
        <v>53</v>
      </c>
      <c r="G11" s="342">
        <v>3</v>
      </c>
      <c r="H11" s="342">
        <v>17</v>
      </c>
      <c r="I11" s="342">
        <v>1</v>
      </c>
      <c r="J11" s="488">
        <f>SUM(Table_Default__XLS_TAB_16_3[[#This Row],[ILLITERATE_CNT]:[NOT_STATED_CNT]])</f>
        <v>132</v>
      </c>
      <c r="K11" s="184">
        <f t="shared" si="0"/>
        <v>3.6454018227009111</v>
      </c>
      <c r="L11" s="62" t="s">
        <v>200</v>
      </c>
    </row>
    <row r="12" spans="1:12" ht="22.5" customHeight="1" thickBot="1">
      <c r="A12" s="131" t="s">
        <v>199</v>
      </c>
      <c r="B12" s="348">
        <v>2</v>
      </c>
      <c r="C12" s="342">
        <v>13</v>
      </c>
      <c r="D12" s="342">
        <v>32</v>
      </c>
      <c r="E12" s="342">
        <v>84</v>
      </c>
      <c r="F12" s="342">
        <v>158</v>
      </c>
      <c r="G12" s="342">
        <v>9</v>
      </c>
      <c r="H12" s="342">
        <v>42</v>
      </c>
      <c r="I12" s="342">
        <v>2</v>
      </c>
      <c r="J12" s="488">
        <f>SUM(Table_Default__XLS_TAB_16_3[[#This Row],[ILLITERATE_CNT]:[NOT_STATED_CNT]])</f>
        <v>342</v>
      </c>
      <c r="K12" s="303">
        <f t="shared" si="0"/>
        <v>9.4449047224523603</v>
      </c>
      <c r="L12" s="63" t="s">
        <v>198</v>
      </c>
    </row>
    <row r="13" spans="1:12" ht="22.5" customHeight="1" thickBot="1">
      <c r="A13" s="130" t="s">
        <v>197</v>
      </c>
      <c r="B13" s="348">
        <v>7</v>
      </c>
      <c r="C13" s="342">
        <v>5</v>
      </c>
      <c r="D13" s="342">
        <v>53</v>
      </c>
      <c r="E13" s="342">
        <v>137</v>
      </c>
      <c r="F13" s="342">
        <v>784</v>
      </c>
      <c r="G13" s="342">
        <v>17</v>
      </c>
      <c r="H13" s="342">
        <v>320</v>
      </c>
      <c r="I13" s="342">
        <v>2</v>
      </c>
      <c r="J13" s="488">
        <f>SUM(Table_Default__XLS_TAB_16_3[[#This Row],[ILLITERATE_CNT]:[NOT_STATED_CNT]])</f>
        <v>1325</v>
      </c>
      <c r="K13" s="184">
        <f t="shared" si="0"/>
        <v>36.592101629384146</v>
      </c>
      <c r="L13" s="62" t="s">
        <v>196</v>
      </c>
    </row>
    <row r="14" spans="1:12" ht="22.5" customHeight="1" thickBot="1">
      <c r="A14" s="384" t="s">
        <v>559</v>
      </c>
      <c r="B14" s="348">
        <v>0</v>
      </c>
      <c r="C14" s="342">
        <v>0</v>
      </c>
      <c r="D14" s="342">
        <v>0</v>
      </c>
      <c r="E14" s="342">
        <v>8</v>
      </c>
      <c r="F14" s="342">
        <v>56</v>
      </c>
      <c r="G14" s="342">
        <v>9</v>
      </c>
      <c r="H14" s="342">
        <v>60</v>
      </c>
      <c r="I14" s="342">
        <v>0</v>
      </c>
      <c r="J14" s="488">
        <f>SUM(Table_Default__XLS_TAB_16_3[[#This Row],[ILLITERATE_CNT]:[NOT_STATED_CNT]])</f>
        <v>133</v>
      </c>
      <c r="K14" s="303">
        <f t="shared" si="0"/>
        <v>3.6730185031759182</v>
      </c>
      <c r="L14" s="385" t="s">
        <v>560</v>
      </c>
    </row>
    <row r="15" spans="1:12" ht="22.5" customHeight="1" thickBot="1">
      <c r="A15" s="130" t="s">
        <v>195</v>
      </c>
      <c r="B15" s="348">
        <v>2</v>
      </c>
      <c r="C15" s="342">
        <v>1</v>
      </c>
      <c r="D15" s="342">
        <v>7</v>
      </c>
      <c r="E15" s="342">
        <v>35</v>
      </c>
      <c r="F15" s="342">
        <v>659</v>
      </c>
      <c r="G15" s="342">
        <v>40</v>
      </c>
      <c r="H15" s="342">
        <v>917</v>
      </c>
      <c r="I15" s="342">
        <v>3</v>
      </c>
      <c r="J15" s="488">
        <f>SUM(Table_Default__XLS_TAB_16_3[[#This Row],[ILLITERATE_CNT]:[NOT_STATED_CNT]])</f>
        <v>1664</v>
      </c>
      <c r="K15" s="184">
        <f t="shared" si="0"/>
        <v>45.954156310411484</v>
      </c>
      <c r="L15" s="62" t="s">
        <v>194</v>
      </c>
    </row>
    <row r="16" spans="1:12" ht="22.5" customHeight="1">
      <c r="A16" s="132" t="s">
        <v>15</v>
      </c>
      <c r="B16" s="349">
        <v>0</v>
      </c>
      <c r="C16" s="343">
        <v>0</v>
      </c>
      <c r="D16" s="343">
        <v>0</v>
      </c>
      <c r="E16" s="343">
        <v>2</v>
      </c>
      <c r="F16" s="343">
        <v>3</v>
      </c>
      <c r="G16" s="343">
        <v>0</v>
      </c>
      <c r="H16" s="343">
        <v>2</v>
      </c>
      <c r="I16" s="343">
        <v>0</v>
      </c>
      <c r="J16" s="489">
        <f>SUM(Table_Default__XLS_TAB_16_3[[#This Row],[ILLITERATE_CNT]:[NOT_STATED_CNT]])</f>
        <v>7</v>
      </c>
      <c r="K16" s="285">
        <f t="shared" si="0"/>
        <v>0.19331676332504832</v>
      </c>
      <c r="L16" s="61" t="s">
        <v>193</v>
      </c>
    </row>
    <row r="17" spans="1:12" ht="22.5" customHeight="1" thickBot="1">
      <c r="A17" s="182" t="s">
        <v>17</v>
      </c>
      <c r="B17" s="928">
        <f>SUBTOTAL(109,Table_Default__XLS_TAB_16_3[ILLITERATE_CNT])</f>
        <v>15</v>
      </c>
      <c r="C17" s="929">
        <f>SUBTOTAL(109,Table_Default__XLS_TAB_16_3[READ_AND_WRITE_CNT])</f>
        <v>25</v>
      </c>
      <c r="D17" s="929">
        <f>SUBTOTAL(109,Table_Default__XLS_TAB_16_3[PRIMARY_CNT])</f>
        <v>121</v>
      </c>
      <c r="E17" s="929">
        <f>SUBTOTAL(109,Table_Default__XLS_TAB_16_3[PREPARATORY_CNT])</f>
        <v>294</v>
      </c>
      <c r="F17" s="929">
        <f>SUBTOTAL(109,Table_Default__XLS_TAB_16_3[SECONDARY_CNT])</f>
        <v>1719</v>
      </c>
      <c r="G17" s="929">
        <f>SUBTOTAL(109,Table_Default__XLS_TAB_16_3[PRE_UNIVERSITY_CNT])</f>
        <v>78</v>
      </c>
      <c r="H17" s="929">
        <f>SUBTOTAL(109,Table_Default__XLS_TAB_16_3[UNIV_ABOVE_CNT])</f>
        <v>1361</v>
      </c>
      <c r="I17" s="929">
        <f>SUBTOTAL(109,Table_Default__XLS_TAB_16_3[NOT_STATED_CNT])</f>
        <v>8</v>
      </c>
      <c r="J17" s="930">
        <f>SUBTOTAL(109,Table_Default__XLS_TAB_16_3[TOTAL])</f>
        <v>3621</v>
      </c>
      <c r="K17" s="420">
        <f>SUM(K9:K16)</f>
        <v>99.999999999999986</v>
      </c>
      <c r="L17" s="183" t="s">
        <v>56</v>
      </c>
    </row>
    <row r="18" spans="1:12" ht="22.5" customHeight="1">
      <c r="A18" s="486" t="s">
        <v>191</v>
      </c>
      <c r="B18" s="487">
        <f>Table_Default__XLS_TAB_16_3[[#Totals],[ILLITERATE_CNT]]/Table_Default__XLS_TAB_16_3[[#Totals],[TOTAL]]%</f>
        <v>0.41425020712510358</v>
      </c>
      <c r="C18" s="487">
        <f>Table_Default__XLS_TAB_16_3[[#Totals],[READ_AND_WRITE_CNT]]/Table_Default__XLS_TAB_16_3[[#Totals],[TOTAL]]%</f>
        <v>0.69041701187517257</v>
      </c>
      <c r="D18" s="487">
        <f>Table_Default__XLS_TAB_16_3[[#Totals],[PRIMARY_CNT]]/Table_Default__XLS_TAB_16_3[[#Totals],[TOTAL]]%</f>
        <v>3.3416183374758353</v>
      </c>
      <c r="E18" s="487">
        <f>Table_Default__XLS_TAB_16_3[[#Totals],[PREPARATORY_CNT]]/Table_Default__XLS_TAB_16_3[[#Totals],[TOTAL]]%</f>
        <v>8.1193040596520305</v>
      </c>
      <c r="F18" s="487">
        <f>Table_Default__XLS_TAB_16_3[[#Totals],[SECONDARY_CNT]]/Table_Default__XLS_TAB_16_3[[#Totals],[TOTAL]]%</f>
        <v>47.473073736536868</v>
      </c>
      <c r="G18" s="487">
        <f>Table_Default__XLS_TAB_16_3[[#Totals],[PRE_UNIVERSITY_CNT]]/Table_Default__XLS_TAB_16_3[[#Totals],[TOTAL]]%</f>
        <v>2.1541010770505387</v>
      </c>
      <c r="H18" s="487">
        <f>Table_Default__XLS_TAB_16_3[[#Totals],[UNIV_ABOVE_CNT]]/Table_Default__XLS_TAB_16_3[[#Totals],[TOTAL]]%</f>
        <v>37.586302126484398</v>
      </c>
      <c r="I18" s="487">
        <f>Table_Default__XLS_TAB_16_3[[#Totals],[NOT_STATED_CNT]]/Table_Default__XLS_TAB_16_3[[#Totals],[TOTAL]]%</f>
        <v>0.22093344380005522</v>
      </c>
      <c r="J18" s="487">
        <f>SUM(B18:I18)</f>
        <v>100</v>
      </c>
      <c r="K18" s="1116" t="s">
        <v>190</v>
      </c>
      <c r="L18" s="1111"/>
    </row>
    <row r="25" spans="1:12">
      <c r="A25" s="2" t="s">
        <v>208</v>
      </c>
      <c r="B25" s="2" t="s">
        <v>223</v>
      </c>
      <c r="C25" s="2" t="s">
        <v>222</v>
      </c>
    </row>
    <row r="26" spans="1:12">
      <c r="A26" s="2" t="s">
        <v>221</v>
      </c>
      <c r="B26" s="185">
        <f>J9</f>
        <v>3</v>
      </c>
      <c r="C26" s="2">
        <f>Table_Default__XLS_TAB_16_3[[#Totals],[ILLITERATE_CNT]]</f>
        <v>15</v>
      </c>
    </row>
    <row r="27" spans="1:12">
      <c r="A27" s="2" t="s">
        <v>220</v>
      </c>
      <c r="B27" s="185">
        <f t="shared" ref="B27:B33" si="1">J10</f>
        <v>15</v>
      </c>
      <c r="C27" s="2">
        <f>Table_Default__XLS_TAB_16_3[[#Totals],[READ_AND_WRITE_CNT]]</f>
        <v>25</v>
      </c>
    </row>
    <row r="28" spans="1:12">
      <c r="A28" s="2" t="s">
        <v>219</v>
      </c>
      <c r="B28" s="185">
        <f t="shared" si="1"/>
        <v>132</v>
      </c>
      <c r="C28" s="2">
        <f>Table_Default__XLS_TAB_16_3[[#Totals],[PRIMARY_CNT]]</f>
        <v>121</v>
      </c>
    </row>
    <row r="29" spans="1:12">
      <c r="A29" s="2" t="s">
        <v>218</v>
      </c>
      <c r="B29" s="185">
        <f t="shared" si="1"/>
        <v>342</v>
      </c>
      <c r="C29" s="2">
        <f>Table_Default__XLS_TAB_16_3[[#Totals],[PREPARATORY_CNT]]</f>
        <v>294</v>
      </c>
    </row>
    <row r="30" spans="1:12">
      <c r="A30" s="2" t="s">
        <v>217</v>
      </c>
      <c r="B30" s="185">
        <f t="shared" si="1"/>
        <v>1325</v>
      </c>
      <c r="C30" s="2">
        <f>Table_Default__XLS_TAB_16_3[[#Totals],[SECONDARY_CNT]]</f>
        <v>1719</v>
      </c>
    </row>
    <row r="31" spans="1:12" ht="25.5">
      <c r="A31" s="194" t="s">
        <v>556</v>
      </c>
      <c r="B31" s="185">
        <f t="shared" si="1"/>
        <v>133</v>
      </c>
      <c r="C31" s="2">
        <f>Table_Default__XLS_TAB_16_3[[#Totals],[PRE_UNIVERSITY_CNT]]</f>
        <v>78</v>
      </c>
    </row>
    <row r="32" spans="1:12">
      <c r="A32" s="2" t="s">
        <v>216</v>
      </c>
      <c r="B32" s="185">
        <f t="shared" si="1"/>
        <v>1664</v>
      </c>
      <c r="C32" s="2">
        <f>Table_Default__XLS_TAB_16_3[[#Totals],[UNIV_ABOVE_CNT]]</f>
        <v>1361</v>
      </c>
    </row>
    <row r="33" spans="1:3">
      <c r="A33" s="2" t="s">
        <v>215</v>
      </c>
      <c r="B33" s="185">
        <f t="shared" si="1"/>
        <v>7</v>
      </c>
      <c r="C33" s="2">
        <f>Table_Default__XLS_TAB_16_3[[#Totals],[NOT_STATED_CNT]]</f>
        <v>8</v>
      </c>
    </row>
    <row r="34" spans="1:3">
      <c r="B34" s="2">
        <f>SUM(B26:B33)</f>
        <v>3621</v>
      </c>
      <c r="C34" s="2">
        <f>SUM(C26:C33)</f>
        <v>3621</v>
      </c>
    </row>
  </sheetData>
  <mergeCells count="9">
    <mergeCell ref="K18:L18"/>
    <mergeCell ref="A1:L1"/>
    <mergeCell ref="A2:L2"/>
    <mergeCell ref="A3:L3"/>
    <mergeCell ref="A4:L4"/>
    <mergeCell ref="A7:A8"/>
    <mergeCell ref="B7:J7"/>
    <mergeCell ref="K7:K8"/>
    <mergeCell ref="L7:L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33:M33"/>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33" spans="1:13" ht="15.75">
      <c r="A33" s="1038" t="s">
        <v>226</v>
      </c>
      <c r="B33" s="1038"/>
      <c r="C33" s="1038"/>
      <c r="D33" s="1038"/>
      <c r="E33" s="1038"/>
      <c r="F33" s="1038"/>
      <c r="G33" s="1038"/>
      <c r="H33" s="1038"/>
      <c r="I33" s="1038"/>
      <c r="J33" s="1038"/>
      <c r="K33" s="1038"/>
      <c r="L33" s="1038"/>
      <c r="M33" s="1038"/>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23"/>
  <sheetViews>
    <sheetView rightToLeft="1" view="pageBreakPreview" topLeftCell="A13" zoomScaleNormal="75" zoomScaleSheetLayoutView="100" workbookViewId="0">
      <selection activeCell="F21" sqref="F21"/>
    </sheetView>
  </sheetViews>
  <sheetFormatPr defaultColWidth="9.140625" defaultRowHeight="12.75"/>
  <cols>
    <col min="1" max="1" width="26.42578125" style="1" customWidth="1"/>
    <col min="2" max="2" width="8.42578125" style="1" customWidth="1"/>
    <col min="3" max="3" width="12.42578125" style="1" customWidth="1"/>
    <col min="4" max="4" width="10.140625" style="1" customWidth="1"/>
    <col min="5" max="5" width="6.42578125" style="1" bestFit="1" customWidth="1"/>
    <col min="6" max="6" width="9.5703125" style="1" customWidth="1"/>
    <col min="7" max="7" width="9.42578125" style="1" customWidth="1"/>
    <col min="8" max="8" width="12.42578125" style="1" customWidth="1"/>
    <col min="9" max="9" width="9.42578125" style="1" customWidth="1"/>
    <col min="10" max="10" width="7.42578125" style="1" customWidth="1"/>
    <col min="11" max="11" width="7.85546875" style="1" customWidth="1"/>
    <col min="12" max="12" width="8.42578125" style="1" customWidth="1"/>
    <col min="13" max="13" width="7.5703125" style="1" customWidth="1"/>
    <col min="14" max="14" width="9.85546875" style="1" customWidth="1"/>
    <col min="15" max="15" width="30.42578125" style="1" customWidth="1"/>
    <col min="16" max="16384" width="9.140625" style="1"/>
  </cols>
  <sheetData>
    <row r="1" spans="1:15" s="2" customFormat="1" ht="18.75" customHeight="1">
      <c r="A1" s="1120" t="s">
        <v>247</v>
      </c>
      <c r="B1" s="1120"/>
      <c r="C1" s="1120"/>
      <c r="D1" s="1120"/>
      <c r="E1" s="1120"/>
      <c r="F1" s="1120"/>
      <c r="G1" s="1120"/>
      <c r="H1" s="1120"/>
      <c r="I1" s="1120"/>
      <c r="J1" s="1120"/>
      <c r="K1" s="1120"/>
      <c r="L1" s="1120"/>
      <c r="M1" s="1120"/>
      <c r="N1" s="1120"/>
      <c r="O1" s="1120"/>
    </row>
    <row r="2" spans="1:15" s="2" customFormat="1" ht="15.75">
      <c r="A2" s="1121" t="s">
        <v>246</v>
      </c>
      <c r="B2" s="1121"/>
      <c r="C2" s="1121"/>
      <c r="D2" s="1121"/>
      <c r="E2" s="1121"/>
      <c r="F2" s="1121"/>
      <c r="G2" s="1121"/>
      <c r="H2" s="1121"/>
      <c r="I2" s="1121"/>
      <c r="J2" s="1121"/>
      <c r="K2" s="1121"/>
      <c r="L2" s="1121"/>
      <c r="M2" s="1121"/>
      <c r="N2" s="1121"/>
      <c r="O2" s="1121"/>
    </row>
    <row r="3" spans="1:15" s="2" customFormat="1" ht="15" customHeight="1">
      <c r="A3" s="1122">
        <v>2019</v>
      </c>
      <c r="B3" s="1122"/>
      <c r="C3" s="1122"/>
      <c r="D3" s="1122"/>
      <c r="E3" s="1122"/>
      <c r="F3" s="1122"/>
      <c r="G3" s="1122"/>
      <c r="H3" s="1122"/>
      <c r="I3" s="1122"/>
      <c r="J3" s="1122"/>
      <c r="K3" s="1122"/>
      <c r="L3" s="1122"/>
      <c r="M3" s="1122"/>
      <c r="N3" s="1122"/>
      <c r="O3" s="1122"/>
    </row>
    <row r="4" spans="1:15" s="2" customFormat="1" ht="15.75">
      <c r="A4" s="1123" t="s">
        <v>53</v>
      </c>
      <c r="B4" s="1123"/>
      <c r="C4" s="1123"/>
      <c r="D4" s="1123"/>
      <c r="E4" s="1123"/>
      <c r="F4" s="1123"/>
      <c r="G4" s="1123"/>
      <c r="H4" s="1123"/>
      <c r="I4" s="1123"/>
      <c r="J4" s="1123"/>
      <c r="K4" s="1123"/>
      <c r="L4" s="1123"/>
      <c r="M4" s="1123"/>
      <c r="N4" s="1123"/>
      <c r="O4" s="1123"/>
    </row>
    <row r="5" spans="1:15" s="2" customFormat="1" ht="15.75">
      <c r="A5" s="376"/>
      <c r="B5" s="376"/>
      <c r="C5" s="376"/>
      <c r="D5" s="376"/>
      <c r="E5" s="376"/>
      <c r="F5" s="376"/>
      <c r="G5" s="376"/>
      <c r="H5" s="376"/>
      <c r="I5" s="376"/>
      <c r="J5" s="376"/>
      <c r="K5" s="376"/>
      <c r="L5" s="376"/>
      <c r="M5" s="376"/>
      <c r="N5" s="376"/>
      <c r="O5" s="376"/>
    </row>
    <row r="6" spans="1:15" ht="15.75">
      <c r="A6" s="373" t="s">
        <v>265</v>
      </c>
      <c r="B6" s="377"/>
      <c r="C6" s="377"/>
      <c r="D6" s="377"/>
      <c r="E6" s="377"/>
      <c r="F6" s="377"/>
      <c r="G6" s="377"/>
      <c r="H6" s="377"/>
      <c r="I6" s="377"/>
      <c r="J6" s="377"/>
      <c r="K6" s="377"/>
      <c r="L6" s="377"/>
      <c r="M6" s="377"/>
      <c r="N6" s="377"/>
      <c r="O6" s="375" t="s">
        <v>264</v>
      </c>
    </row>
    <row r="7" spans="1:15" ht="20.25" customHeight="1" thickBot="1">
      <c r="A7" s="1099" t="s">
        <v>243</v>
      </c>
      <c r="B7" s="1118" t="s">
        <v>242</v>
      </c>
      <c r="C7" s="1118"/>
      <c r="D7" s="1118"/>
      <c r="E7" s="1118"/>
      <c r="F7" s="1118"/>
      <c r="G7" s="1118"/>
      <c r="H7" s="1118"/>
      <c r="I7" s="1118"/>
      <c r="J7" s="1118"/>
      <c r="K7" s="1118"/>
      <c r="L7" s="1118"/>
      <c r="M7" s="1118"/>
      <c r="N7" s="1118"/>
      <c r="O7" s="1106" t="s">
        <v>241</v>
      </c>
    </row>
    <row r="8" spans="1:15" ht="84" customHeight="1" thickBot="1">
      <c r="A8" s="1117"/>
      <c r="B8" s="329" t="s">
        <v>736</v>
      </c>
      <c r="C8" s="329" t="s">
        <v>238</v>
      </c>
      <c r="D8" s="329" t="s">
        <v>237</v>
      </c>
      <c r="E8" s="329" t="s">
        <v>236</v>
      </c>
      <c r="F8" s="330" t="s">
        <v>235</v>
      </c>
      <c r="G8" s="330" t="s">
        <v>589</v>
      </c>
      <c r="H8" s="330" t="s">
        <v>737</v>
      </c>
      <c r="I8" s="330" t="s">
        <v>738</v>
      </c>
      <c r="J8" s="330" t="s">
        <v>233</v>
      </c>
      <c r="K8" s="330" t="s">
        <v>232</v>
      </c>
      <c r="L8" s="331" t="s">
        <v>17</v>
      </c>
      <c r="M8" s="920" t="s">
        <v>1291</v>
      </c>
      <c r="N8" s="329" t="s">
        <v>240</v>
      </c>
      <c r="O8" s="1119"/>
    </row>
    <row r="9" spans="1:15" ht="60.75" customHeight="1" thickBot="1">
      <c r="A9" s="1108"/>
      <c r="B9" s="580" t="s">
        <v>704</v>
      </c>
      <c r="C9" s="580" t="s">
        <v>705</v>
      </c>
      <c r="D9" s="580" t="s">
        <v>706</v>
      </c>
      <c r="E9" s="580" t="s">
        <v>707</v>
      </c>
      <c r="F9" s="580" t="s">
        <v>712</v>
      </c>
      <c r="G9" s="580" t="s">
        <v>708</v>
      </c>
      <c r="H9" s="580" t="s">
        <v>709</v>
      </c>
      <c r="I9" s="580" t="s">
        <v>710</v>
      </c>
      <c r="J9" s="580" t="s">
        <v>711</v>
      </c>
      <c r="K9" s="580" t="s">
        <v>231</v>
      </c>
      <c r="L9" s="580" t="s">
        <v>56</v>
      </c>
      <c r="M9" s="581" t="s">
        <v>713</v>
      </c>
      <c r="N9" s="490" t="s">
        <v>239</v>
      </c>
      <c r="O9" s="1109"/>
    </row>
    <row r="10" spans="1:15" ht="32.25" thickBot="1">
      <c r="A10" s="823" t="s">
        <v>748</v>
      </c>
      <c r="B10" s="429">
        <v>1</v>
      </c>
      <c r="C10" s="429">
        <v>25</v>
      </c>
      <c r="D10" s="429">
        <v>61</v>
      </c>
      <c r="E10" s="429">
        <v>36</v>
      </c>
      <c r="F10" s="429">
        <v>1</v>
      </c>
      <c r="G10" s="429">
        <v>0</v>
      </c>
      <c r="H10" s="429">
        <v>0</v>
      </c>
      <c r="I10" s="429">
        <v>0</v>
      </c>
      <c r="J10" s="429">
        <v>0</v>
      </c>
      <c r="K10" s="429">
        <v>0</v>
      </c>
      <c r="L10" s="491">
        <f>SUM(Table_Default__XLS_TAB_17_1[[#This Row],[LEGISLATORS_CNT]:[NOT_KNOWN_CNT]])</f>
        <v>124</v>
      </c>
      <c r="M10" s="429">
        <v>244</v>
      </c>
      <c r="N10" s="491">
        <f>Table_Default__XLS_TAB_17_1[[#This Row],[TOTAL]]+Table_Default__XLS_TAB_17_1[[#This Row],[NO_OCCUP]]</f>
        <v>368</v>
      </c>
      <c r="O10" s="722" t="s">
        <v>1245</v>
      </c>
    </row>
    <row r="11" spans="1:15" ht="22.5" customHeight="1" thickBot="1">
      <c r="A11" s="836" t="s">
        <v>238</v>
      </c>
      <c r="B11" s="152">
        <v>0</v>
      </c>
      <c r="C11" s="152">
        <v>9</v>
      </c>
      <c r="D11" s="152">
        <v>16</v>
      </c>
      <c r="E11" s="152">
        <v>13</v>
      </c>
      <c r="F11" s="152">
        <v>0</v>
      </c>
      <c r="G11" s="152">
        <v>0</v>
      </c>
      <c r="H11" s="152">
        <v>0</v>
      </c>
      <c r="I11" s="152">
        <v>0</v>
      </c>
      <c r="J11" s="152">
        <v>0</v>
      </c>
      <c r="K11" s="152">
        <v>0</v>
      </c>
      <c r="L11" s="491">
        <f>SUM(Table_Default__XLS_TAB_17_1[[#This Row],[LEGISLATORS_CNT]:[NOT_KNOWN_CNT]])</f>
        <v>38</v>
      </c>
      <c r="M11" s="152">
        <v>42</v>
      </c>
      <c r="N11" s="491">
        <f>Table_Default__XLS_TAB_17_1[[#This Row],[TOTAL]]+Table_Default__XLS_TAB_17_1[[#This Row],[NO_OCCUP]]</f>
        <v>80</v>
      </c>
      <c r="O11" s="723" t="s">
        <v>705</v>
      </c>
    </row>
    <row r="12" spans="1:15" ht="32.25" thickBot="1">
      <c r="A12" s="836" t="s">
        <v>237</v>
      </c>
      <c r="B12" s="152">
        <v>0</v>
      </c>
      <c r="C12" s="152">
        <v>27</v>
      </c>
      <c r="D12" s="152">
        <v>120</v>
      </c>
      <c r="E12" s="152">
        <v>70</v>
      </c>
      <c r="F12" s="152">
        <v>1</v>
      </c>
      <c r="G12" s="152">
        <v>0</v>
      </c>
      <c r="H12" s="152">
        <v>0</v>
      </c>
      <c r="I12" s="152">
        <v>0</v>
      </c>
      <c r="J12" s="152">
        <v>0</v>
      </c>
      <c r="K12" s="152">
        <v>0</v>
      </c>
      <c r="L12" s="491">
        <f>SUM(Table_Default__XLS_TAB_17_1[[#This Row],[LEGISLATORS_CNT]:[NOT_KNOWN_CNT]])</f>
        <v>218</v>
      </c>
      <c r="M12" s="152">
        <v>253</v>
      </c>
      <c r="N12" s="491">
        <f>Table_Default__XLS_TAB_17_1[[#This Row],[TOTAL]]+Table_Default__XLS_TAB_17_1[[#This Row],[NO_OCCUP]]</f>
        <v>471</v>
      </c>
      <c r="O12" s="724" t="s">
        <v>1246</v>
      </c>
    </row>
    <row r="13" spans="1:15" ht="22.5" customHeight="1" thickBot="1">
      <c r="A13" s="836" t="s">
        <v>236</v>
      </c>
      <c r="B13" s="152">
        <v>1</v>
      </c>
      <c r="C13" s="152">
        <v>42</v>
      </c>
      <c r="D13" s="152">
        <v>72</v>
      </c>
      <c r="E13" s="152">
        <v>163</v>
      </c>
      <c r="F13" s="152">
        <v>5</v>
      </c>
      <c r="G13" s="152">
        <v>0</v>
      </c>
      <c r="H13" s="152">
        <v>0</v>
      </c>
      <c r="I13" s="152">
        <v>0</v>
      </c>
      <c r="J13" s="152">
        <v>0</v>
      </c>
      <c r="K13" s="152">
        <v>0</v>
      </c>
      <c r="L13" s="491">
        <f>SUM(Table_Default__XLS_TAB_17_1[[#This Row],[LEGISLATORS_CNT]:[NOT_KNOWN_CNT]])</f>
        <v>283</v>
      </c>
      <c r="M13" s="152">
        <v>526</v>
      </c>
      <c r="N13" s="491">
        <f>Table_Default__XLS_TAB_17_1[[#This Row],[TOTAL]]+Table_Default__XLS_TAB_17_1[[#This Row],[NO_OCCUP]]</f>
        <v>809</v>
      </c>
      <c r="O13" s="723" t="s">
        <v>707</v>
      </c>
    </row>
    <row r="14" spans="1:15" ht="32.25" thickBot="1">
      <c r="A14" s="836" t="s">
        <v>235</v>
      </c>
      <c r="B14" s="152">
        <v>1</v>
      </c>
      <c r="C14" s="152">
        <v>9</v>
      </c>
      <c r="D14" s="152">
        <v>22</v>
      </c>
      <c r="E14" s="152">
        <v>35</v>
      </c>
      <c r="F14" s="152">
        <v>5</v>
      </c>
      <c r="G14" s="152">
        <v>0</v>
      </c>
      <c r="H14" s="152">
        <v>0</v>
      </c>
      <c r="I14" s="152">
        <v>0</v>
      </c>
      <c r="J14" s="152">
        <v>0</v>
      </c>
      <c r="K14" s="152">
        <v>0</v>
      </c>
      <c r="L14" s="491">
        <f>SUM(Table_Default__XLS_TAB_17_1[[#This Row],[LEGISLATORS_CNT]:[NOT_KNOWN_CNT]])</f>
        <v>72</v>
      </c>
      <c r="M14" s="152">
        <v>118</v>
      </c>
      <c r="N14" s="491">
        <f>Table_Default__XLS_TAB_17_1[[#This Row],[TOTAL]]+Table_Default__XLS_TAB_17_1[[#This Row],[NO_OCCUP]]</f>
        <v>190</v>
      </c>
      <c r="O14" s="724" t="s">
        <v>1247</v>
      </c>
    </row>
    <row r="15" spans="1:15" ht="32.25" thickBot="1">
      <c r="A15" s="836" t="s">
        <v>1244</v>
      </c>
      <c r="B15" s="152">
        <v>0</v>
      </c>
      <c r="C15" s="152">
        <v>0</v>
      </c>
      <c r="D15" s="152">
        <v>0</v>
      </c>
      <c r="E15" s="152">
        <v>0</v>
      </c>
      <c r="F15" s="152">
        <v>0</v>
      </c>
      <c r="G15" s="152">
        <v>0</v>
      </c>
      <c r="H15" s="152">
        <v>0</v>
      </c>
      <c r="I15" s="152">
        <v>0</v>
      </c>
      <c r="J15" s="152">
        <v>0</v>
      </c>
      <c r="K15" s="152">
        <v>0</v>
      </c>
      <c r="L15" s="491">
        <f>SUM(Table_Default__XLS_TAB_17_1[[#This Row],[LEGISLATORS_CNT]:[NOT_KNOWN_CNT]])</f>
        <v>0</v>
      </c>
      <c r="M15" s="152">
        <v>0</v>
      </c>
      <c r="N15" s="491">
        <f>Table_Default__XLS_TAB_17_1[[#This Row],[TOTAL]]+Table_Default__XLS_TAB_17_1[[#This Row],[NO_OCCUP]]</f>
        <v>0</v>
      </c>
      <c r="O15" s="723" t="s">
        <v>1248</v>
      </c>
    </row>
    <row r="16" spans="1:15" ht="32.25" thickBot="1">
      <c r="A16" s="836" t="s">
        <v>749</v>
      </c>
      <c r="B16" s="152">
        <v>0</v>
      </c>
      <c r="C16" s="152">
        <v>0</v>
      </c>
      <c r="D16" s="152">
        <v>0</v>
      </c>
      <c r="E16" s="152">
        <v>0</v>
      </c>
      <c r="F16" s="152">
        <v>0</v>
      </c>
      <c r="G16" s="152">
        <v>0</v>
      </c>
      <c r="H16" s="152">
        <v>0</v>
      </c>
      <c r="I16" s="152">
        <v>0</v>
      </c>
      <c r="J16" s="152">
        <v>0</v>
      </c>
      <c r="K16" s="152">
        <v>0</v>
      </c>
      <c r="L16" s="491">
        <f>SUM(Table_Default__XLS_TAB_17_1[[#This Row],[LEGISLATORS_CNT]:[NOT_KNOWN_CNT]])</f>
        <v>0</v>
      </c>
      <c r="M16" s="152">
        <v>0</v>
      </c>
      <c r="N16" s="491">
        <f>Table_Default__XLS_TAB_17_1[[#This Row],[TOTAL]]+Table_Default__XLS_TAB_17_1[[#This Row],[NO_OCCUP]]</f>
        <v>0</v>
      </c>
      <c r="O16" s="724" t="s">
        <v>1250</v>
      </c>
    </row>
    <row r="17" spans="1:15" ht="32.25" thickBot="1">
      <c r="A17" s="836" t="s">
        <v>750</v>
      </c>
      <c r="B17" s="152">
        <v>0</v>
      </c>
      <c r="C17" s="152">
        <v>0</v>
      </c>
      <c r="D17" s="152">
        <v>0</v>
      </c>
      <c r="E17" s="152">
        <v>0</v>
      </c>
      <c r="F17" s="152">
        <v>0</v>
      </c>
      <c r="G17" s="152">
        <v>0</v>
      </c>
      <c r="H17" s="152">
        <v>0</v>
      </c>
      <c r="I17" s="152">
        <v>0</v>
      </c>
      <c r="J17" s="152">
        <v>0</v>
      </c>
      <c r="K17" s="152">
        <v>0</v>
      </c>
      <c r="L17" s="491">
        <f>SUM(Table_Default__XLS_TAB_17_1[[#This Row],[LEGISLATORS_CNT]:[NOT_KNOWN_CNT]])</f>
        <v>0</v>
      </c>
      <c r="M17" s="152">
        <v>4</v>
      </c>
      <c r="N17" s="491">
        <f>Table_Default__XLS_TAB_17_1[[#This Row],[TOTAL]]+Table_Default__XLS_TAB_17_1[[#This Row],[NO_OCCUP]]</f>
        <v>4</v>
      </c>
      <c r="O17" s="723" t="s">
        <v>1251</v>
      </c>
    </row>
    <row r="18" spans="1:15" ht="22.5" customHeight="1" thickBot="1">
      <c r="A18" s="836" t="s">
        <v>233</v>
      </c>
      <c r="B18" s="152">
        <v>0</v>
      </c>
      <c r="C18" s="152">
        <v>3</v>
      </c>
      <c r="D18" s="152">
        <v>1</v>
      </c>
      <c r="E18" s="152">
        <v>11</v>
      </c>
      <c r="F18" s="152">
        <v>1</v>
      </c>
      <c r="G18" s="152">
        <v>0</v>
      </c>
      <c r="H18" s="152">
        <v>0</v>
      </c>
      <c r="I18" s="152">
        <v>0</v>
      </c>
      <c r="J18" s="152">
        <v>0</v>
      </c>
      <c r="K18" s="152">
        <v>0</v>
      </c>
      <c r="L18" s="491">
        <f>SUM(Table_Default__XLS_TAB_17_1[[#This Row],[LEGISLATORS_CNT]:[NOT_KNOWN_CNT]])</f>
        <v>16</v>
      </c>
      <c r="M18" s="152">
        <v>24</v>
      </c>
      <c r="N18" s="491">
        <f>Table_Default__XLS_TAB_17_1[[#This Row],[TOTAL]]+Table_Default__XLS_TAB_17_1[[#This Row],[NO_OCCUP]]</f>
        <v>40</v>
      </c>
      <c r="O18" s="724" t="s">
        <v>711</v>
      </c>
    </row>
    <row r="19" spans="1:15" ht="31.5" customHeight="1">
      <c r="A19" s="966" t="s">
        <v>232</v>
      </c>
      <c r="B19" s="430">
        <v>0</v>
      </c>
      <c r="C19" s="430">
        <v>0</v>
      </c>
      <c r="D19" s="430">
        <v>0</v>
      </c>
      <c r="E19" s="430">
        <v>0</v>
      </c>
      <c r="F19" s="430">
        <v>0</v>
      </c>
      <c r="G19" s="430">
        <v>0</v>
      </c>
      <c r="H19" s="430">
        <v>0</v>
      </c>
      <c r="I19" s="430">
        <v>0</v>
      </c>
      <c r="J19" s="430">
        <v>0</v>
      </c>
      <c r="K19" s="430">
        <v>0</v>
      </c>
      <c r="L19" s="962">
        <f>SUM(Table_Default__XLS_TAB_17_1[[#This Row],[LEGISLATORS_CNT]:[NOT_KNOWN_CNT]])</f>
        <v>0</v>
      </c>
      <c r="M19" s="430">
        <v>0</v>
      </c>
      <c r="N19" s="474">
        <f>Table_Default__XLS_TAB_17_1[[#This Row],[TOTAL]]+Table_Default__XLS_TAB_17_1[[#This Row],[NO_OCCUP]]</f>
        <v>0</v>
      </c>
      <c r="O19" s="725" t="s">
        <v>231</v>
      </c>
    </row>
    <row r="20" spans="1:15" ht="22.5" customHeight="1">
      <c r="A20" s="967" t="s">
        <v>17</v>
      </c>
      <c r="B20" s="963">
        <f>SUM(B10:B19)</f>
        <v>3</v>
      </c>
      <c r="C20" s="963">
        <f t="shared" ref="C20:M20" si="0">SUM(C10:C19)</f>
        <v>115</v>
      </c>
      <c r="D20" s="963">
        <f t="shared" si="0"/>
        <v>292</v>
      </c>
      <c r="E20" s="963">
        <f t="shared" si="0"/>
        <v>328</v>
      </c>
      <c r="F20" s="963">
        <f>SUM(F10:F19)</f>
        <v>13</v>
      </c>
      <c r="G20" s="963">
        <f t="shared" si="0"/>
        <v>0</v>
      </c>
      <c r="H20" s="963">
        <f t="shared" si="0"/>
        <v>0</v>
      </c>
      <c r="I20" s="963">
        <f t="shared" si="0"/>
        <v>0</v>
      </c>
      <c r="J20" s="963">
        <f t="shared" si="0"/>
        <v>0</v>
      </c>
      <c r="K20" s="963">
        <f t="shared" si="0"/>
        <v>0</v>
      </c>
      <c r="L20" s="963">
        <f>SUM(L10:L19)</f>
        <v>751</v>
      </c>
      <c r="M20" s="963">
        <f t="shared" si="0"/>
        <v>1211</v>
      </c>
      <c r="N20" s="963">
        <f>SUM(N10:N19)</f>
        <v>1962</v>
      </c>
      <c r="O20" s="298" t="s">
        <v>56</v>
      </c>
    </row>
    <row r="21" spans="1:15" ht="22.5" customHeight="1">
      <c r="A21" s="862" t="s">
        <v>1290</v>
      </c>
      <c r="B21" s="186">
        <v>0</v>
      </c>
      <c r="C21" s="186">
        <v>3</v>
      </c>
      <c r="D21" s="186">
        <v>12</v>
      </c>
      <c r="E21" s="186">
        <v>8</v>
      </c>
      <c r="F21" s="186">
        <v>1</v>
      </c>
      <c r="G21" s="186">
        <v>0</v>
      </c>
      <c r="H21" s="186">
        <v>0</v>
      </c>
      <c r="I21" s="186">
        <v>0</v>
      </c>
      <c r="J21" s="186">
        <v>1</v>
      </c>
      <c r="K21" s="186">
        <v>0</v>
      </c>
      <c r="L21" s="186">
        <v>25</v>
      </c>
      <c r="M21" s="186">
        <v>90</v>
      </c>
      <c r="N21" s="186">
        <v>115</v>
      </c>
      <c r="O21" s="863" t="s">
        <v>1272</v>
      </c>
    </row>
    <row r="22" spans="1:15" ht="22.5" customHeight="1">
      <c r="A22" s="973" t="s">
        <v>229</v>
      </c>
      <c r="B22" s="959">
        <f>(SUM(B20+B21))</f>
        <v>3</v>
      </c>
      <c r="C22" s="959">
        <f t="shared" ref="C22:M22" si="1">(SUM(C20+C21))</f>
        <v>118</v>
      </c>
      <c r="D22" s="959">
        <f t="shared" si="1"/>
        <v>304</v>
      </c>
      <c r="E22" s="959">
        <f t="shared" si="1"/>
        <v>336</v>
      </c>
      <c r="F22" s="959">
        <f t="shared" si="1"/>
        <v>14</v>
      </c>
      <c r="G22" s="959">
        <f t="shared" si="1"/>
        <v>0</v>
      </c>
      <c r="H22" s="959">
        <f t="shared" si="1"/>
        <v>0</v>
      </c>
      <c r="I22" s="959">
        <f t="shared" si="1"/>
        <v>0</v>
      </c>
      <c r="J22" s="959">
        <f t="shared" si="1"/>
        <v>1</v>
      </c>
      <c r="K22" s="959">
        <f t="shared" si="1"/>
        <v>0</v>
      </c>
      <c r="L22" s="959">
        <f>(SUM(L20+L21))</f>
        <v>776</v>
      </c>
      <c r="M22" s="959">
        <f t="shared" si="1"/>
        <v>1301</v>
      </c>
      <c r="N22" s="959">
        <f>(SUM(N20+N21))</f>
        <v>2077</v>
      </c>
      <c r="O22" s="961" t="s">
        <v>228</v>
      </c>
    </row>
    <row r="23" spans="1:15" ht="14.25">
      <c r="A23" s="964" t="s">
        <v>227</v>
      </c>
      <c r="O23" s="873" t="s">
        <v>1276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23"/>
  <sheetViews>
    <sheetView rightToLeft="1" view="pageBreakPreview" topLeftCell="A10" zoomScaleNormal="75" zoomScaleSheetLayoutView="100" workbookViewId="0">
      <selection activeCell="L23" sqref="L23"/>
    </sheetView>
  </sheetViews>
  <sheetFormatPr defaultColWidth="9.140625" defaultRowHeight="12.75"/>
  <cols>
    <col min="1" max="1" width="26.42578125" style="1" customWidth="1"/>
    <col min="2" max="2" width="8.42578125" style="1" customWidth="1"/>
    <col min="3" max="3" width="12.42578125" style="1" customWidth="1"/>
    <col min="4" max="4" width="10.140625" style="1" customWidth="1"/>
    <col min="5" max="5" width="6.42578125" style="1" bestFit="1" customWidth="1"/>
    <col min="6" max="6" width="9.5703125" style="1" customWidth="1"/>
    <col min="7" max="7" width="9.42578125" style="1" customWidth="1"/>
    <col min="8" max="8" width="12.42578125" style="1" customWidth="1"/>
    <col min="9" max="9" width="9.42578125" style="1" customWidth="1"/>
    <col min="10" max="10" width="7.42578125" style="1" customWidth="1"/>
    <col min="11" max="11" width="7.85546875" style="1" customWidth="1"/>
    <col min="12" max="12" width="8.42578125" style="1" customWidth="1"/>
    <col min="13" max="13" width="7" style="1" bestFit="1" customWidth="1"/>
    <col min="14" max="14" width="9.85546875" style="1" customWidth="1"/>
    <col min="15" max="15" width="30.42578125" style="1" customWidth="1"/>
    <col min="16" max="16384" width="9.140625" style="1"/>
  </cols>
  <sheetData>
    <row r="1" spans="1:15" s="2" customFormat="1" ht="18.75" customHeight="1">
      <c r="A1" s="1120" t="s">
        <v>247</v>
      </c>
      <c r="B1" s="1120"/>
      <c r="C1" s="1120"/>
      <c r="D1" s="1120"/>
      <c r="E1" s="1120"/>
      <c r="F1" s="1120"/>
      <c r="G1" s="1120"/>
      <c r="H1" s="1120"/>
      <c r="I1" s="1120"/>
      <c r="J1" s="1120"/>
      <c r="K1" s="1120"/>
      <c r="L1" s="1120"/>
      <c r="M1" s="1120"/>
      <c r="N1" s="1120"/>
      <c r="O1" s="1120"/>
    </row>
    <row r="2" spans="1:15" s="2" customFormat="1" ht="15.75">
      <c r="A2" s="1121" t="s">
        <v>246</v>
      </c>
      <c r="B2" s="1121"/>
      <c r="C2" s="1121"/>
      <c r="D2" s="1121"/>
      <c r="E2" s="1121"/>
      <c r="F2" s="1121"/>
      <c r="G2" s="1121"/>
      <c r="H2" s="1121"/>
      <c r="I2" s="1121"/>
      <c r="J2" s="1121"/>
      <c r="K2" s="1121"/>
      <c r="L2" s="1121"/>
      <c r="M2" s="1121"/>
      <c r="N2" s="1121"/>
      <c r="O2" s="1121"/>
    </row>
    <row r="3" spans="1:15" s="2" customFormat="1" ht="15" customHeight="1">
      <c r="A3" s="1122">
        <v>2019</v>
      </c>
      <c r="B3" s="1122"/>
      <c r="C3" s="1122"/>
      <c r="D3" s="1122"/>
      <c r="E3" s="1122"/>
      <c r="F3" s="1122"/>
      <c r="G3" s="1122"/>
      <c r="H3" s="1122"/>
      <c r="I3" s="1122"/>
      <c r="J3" s="1122"/>
      <c r="K3" s="1122"/>
      <c r="L3" s="1122"/>
      <c r="M3" s="1122"/>
      <c r="N3" s="1122"/>
      <c r="O3" s="1122"/>
    </row>
    <row r="4" spans="1:15" s="2" customFormat="1" ht="15.75">
      <c r="A4" s="1123" t="s">
        <v>52</v>
      </c>
      <c r="B4" s="1123"/>
      <c r="C4" s="1123"/>
      <c r="D4" s="1123"/>
      <c r="E4" s="1123"/>
      <c r="F4" s="1123"/>
      <c r="G4" s="1123"/>
      <c r="H4" s="1123"/>
      <c r="I4" s="1123"/>
      <c r="J4" s="1123"/>
      <c r="K4" s="1123"/>
      <c r="L4" s="1123"/>
      <c r="M4" s="1123"/>
      <c r="N4" s="1123"/>
      <c r="O4" s="1123"/>
    </row>
    <row r="5" spans="1:15" s="2" customFormat="1" ht="15.75">
      <c r="A5" s="376"/>
      <c r="B5" s="376"/>
      <c r="C5" s="376"/>
      <c r="D5" s="376"/>
      <c r="E5" s="376"/>
      <c r="F5" s="376"/>
      <c r="G5" s="376"/>
      <c r="H5" s="376"/>
      <c r="I5" s="376"/>
      <c r="J5" s="376"/>
      <c r="K5" s="376"/>
      <c r="L5" s="376"/>
      <c r="M5" s="376"/>
      <c r="N5" s="376"/>
      <c r="O5" s="376"/>
    </row>
    <row r="6" spans="1:15" ht="15.75">
      <c r="A6" s="373" t="s">
        <v>270</v>
      </c>
      <c r="B6" s="377"/>
      <c r="C6" s="377"/>
      <c r="D6" s="377"/>
      <c r="E6" s="377"/>
      <c r="F6" s="377"/>
      <c r="G6" s="377"/>
      <c r="H6" s="377"/>
      <c r="I6" s="377"/>
      <c r="J6" s="377"/>
      <c r="K6" s="377"/>
      <c r="L6" s="377"/>
      <c r="M6" s="377"/>
      <c r="N6" s="377"/>
      <c r="O6" s="375" t="s">
        <v>269</v>
      </c>
    </row>
    <row r="7" spans="1:15" ht="20.25" customHeight="1" thickBot="1">
      <c r="A7" s="1099" t="s">
        <v>243</v>
      </c>
      <c r="B7" s="1118" t="s">
        <v>242</v>
      </c>
      <c r="C7" s="1118"/>
      <c r="D7" s="1118"/>
      <c r="E7" s="1118"/>
      <c r="F7" s="1118"/>
      <c r="G7" s="1118"/>
      <c r="H7" s="1118"/>
      <c r="I7" s="1118"/>
      <c r="J7" s="1118"/>
      <c r="K7" s="1118"/>
      <c r="L7" s="1118"/>
      <c r="M7" s="1118"/>
      <c r="N7" s="1118"/>
      <c r="O7" s="1106" t="s">
        <v>241</v>
      </c>
    </row>
    <row r="8" spans="1:15" ht="86.25" customHeight="1" thickBot="1">
      <c r="A8" s="1117"/>
      <c r="B8" s="329" t="s">
        <v>736</v>
      </c>
      <c r="C8" s="329" t="s">
        <v>238</v>
      </c>
      <c r="D8" s="329" t="s">
        <v>237</v>
      </c>
      <c r="E8" s="329" t="s">
        <v>236</v>
      </c>
      <c r="F8" s="330" t="s">
        <v>235</v>
      </c>
      <c r="G8" s="330" t="s">
        <v>589</v>
      </c>
      <c r="H8" s="330" t="s">
        <v>737</v>
      </c>
      <c r="I8" s="330" t="s">
        <v>738</v>
      </c>
      <c r="J8" s="330" t="s">
        <v>233</v>
      </c>
      <c r="K8" s="330" t="s">
        <v>232</v>
      </c>
      <c r="L8" s="331" t="s">
        <v>17</v>
      </c>
      <c r="M8" s="920" t="s">
        <v>1291</v>
      </c>
      <c r="N8" s="329" t="s">
        <v>240</v>
      </c>
      <c r="O8" s="1119"/>
    </row>
    <row r="9" spans="1:15" ht="60.75" customHeight="1">
      <c r="A9" s="1108"/>
      <c r="B9" s="580" t="s">
        <v>704</v>
      </c>
      <c r="C9" s="580" t="s">
        <v>705</v>
      </c>
      <c r="D9" s="580" t="s">
        <v>706</v>
      </c>
      <c r="E9" s="580" t="s">
        <v>707</v>
      </c>
      <c r="F9" s="580" t="s">
        <v>712</v>
      </c>
      <c r="G9" s="580" t="s">
        <v>708</v>
      </c>
      <c r="H9" s="580" t="s">
        <v>709</v>
      </c>
      <c r="I9" s="580" t="s">
        <v>710</v>
      </c>
      <c r="J9" s="580" t="s">
        <v>711</v>
      </c>
      <c r="K9" s="580" t="s">
        <v>231</v>
      </c>
      <c r="L9" s="580" t="s">
        <v>56</v>
      </c>
      <c r="M9" s="581" t="s">
        <v>713</v>
      </c>
      <c r="N9" s="542" t="s">
        <v>239</v>
      </c>
      <c r="O9" s="1107"/>
    </row>
    <row r="10" spans="1:15" ht="32.25" thickBot="1">
      <c r="A10" s="823" t="s">
        <v>748</v>
      </c>
      <c r="B10" s="429">
        <v>1</v>
      </c>
      <c r="C10" s="429">
        <v>8</v>
      </c>
      <c r="D10" s="429">
        <v>15</v>
      </c>
      <c r="E10" s="429">
        <v>11</v>
      </c>
      <c r="F10" s="429">
        <v>12</v>
      </c>
      <c r="G10" s="429">
        <v>0</v>
      </c>
      <c r="H10" s="429">
        <v>0</v>
      </c>
      <c r="I10" s="429">
        <v>0</v>
      </c>
      <c r="J10" s="429">
        <v>1</v>
      </c>
      <c r="K10" s="429">
        <v>0</v>
      </c>
      <c r="L10" s="491">
        <f>SUM(Table_Default__XLS_TAB_17_2[[#This Row],[LEGISLATORS_CNT]:[NOT_KNOWN_CNT]])</f>
        <v>48</v>
      </c>
      <c r="M10" s="429">
        <v>32</v>
      </c>
      <c r="N10" s="491">
        <f>Table_Default__XLS_TAB_17_2[[#This Row],[TOTAL]]+Table_Default__XLS_TAB_17_2[[#This Row],[NO_OCCUP]]</f>
        <v>80</v>
      </c>
      <c r="O10" s="919" t="s">
        <v>704</v>
      </c>
    </row>
    <row r="11" spans="1:15" ht="22.5" customHeight="1" thickBot="1">
      <c r="A11" s="836" t="s">
        <v>238</v>
      </c>
      <c r="B11" s="152">
        <v>7</v>
      </c>
      <c r="C11" s="152">
        <v>81</v>
      </c>
      <c r="D11" s="152">
        <v>59</v>
      </c>
      <c r="E11" s="152">
        <v>17</v>
      </c>
      <c r="F11" s="152">
        <v>19</v>
      </c>
      <c r="G11" s="152">
        <v>0</v>
      </c>
      <c r="H11" s="152">
        <v>0</v>
      </c>
      <c r="I11" s="152">
        <v>0</v>
      </c>
      <c r="J11" s="152">
        <v>5</v>
      </c>
      <c r="K11" s="152">
        <v>0</v>
      </c>
      <c r="L11" s="491">
        <f>SUM(Table_Default__XLS_TAB_17_2[[#This Row],[LEGISLATORS_CNT]:[NOT_KNOWN_CNT]])</f>
        <v>188</v>
      </c>
      <c r="M11" s="152">
        <v>135</v>
      </c>
      <c r="N11" s="491">
        <f>Table_Default__XLS_TAB_17_2[[#This Row],[TOTAL]]+Table_Default__XLS_TAB_17_2[[#This Row],[NO_OCCUP]]</f>
        <v>323</v>
      </c>
      <c r="O11" s="723" t="s">
        <v>705</v>
      </c>
    </row>
    <row r="12" spans="1:15" ht="32.25" thickBot="1">
      <c r="A12" s="836" t="s">
        <v>237</v>
      </c>
      <c r="B12" s="152">
        <v>6</v>
      </c>
      <c r="C12" s="152">
        <v>54</v>
      </c>
      <c r="D12" s="152">
        <v>74</v>
      </c>
      <c r="E12" s="152">
        <v>49</v>
      </c>
      <c r="F12" s="152">
        <v>18</v>
      </c>
      <c r="G12" s="152">
        <v>0</v>
      </c>
      <c r="H12" s="152">
        <v>0</v>
      </c>
      <c r="I12" s="152">
        <v>0</v>
      </c>
      <c r="J12" s="152">
        <v>3</v>
      </c>
      <c r="K12" s="152">
        <v>0</v>
      </c>
      <c r="L12" s="491">
        <f>SUM(Table_Default__XLS_TAB_17_2[[#This Row],[LEGISLATORS_CNT]:[NOT_KNOWN_CNT]])</f>
        <v>204</v>
      </c>
      <c r="M12" s="152">
        <v>182</v>
      </c>
      <c r="N12" s="491">
        <f>Table_Default__XLS_TAB_17_2[[#This Row],[TOTAL]]+Table_Default__XLS_TAB_17_2[[#This Row],[NO_OCCUP]]</f>
        <v>386</v>
      </c>
      <c r="O12" s="724" t="s">
        <v>1246</v>
      </c>
    </row>
    <row r="13" spans="1:15" ht="22.5" customHeight="1" thickBot="1">
      <c r="A13" s="836" t="s">
        <v>236</v>
      </c>
      <c r="B13" s="152">
        <v>1</v>
      </c>
      <c r="C13" s="152">
        <v>43</v>
      </c>
      <c r="D13" s="152">
        <v>40</v>
      </c>
      <c r="E13" s="152">
        <v>50</v>
      </c>
      <c r="F13" s="152">
        <v>26</v>
      </c>
      <c r="G13" s="152">
        <v>0</v>
      </c>
      <c r="H13" s="152">
        <v>0</v>
      </c>
      <c r="I13" s="152">
        <v>0</v>
      </c>
      <c r="J13" s="152">
        <v>10</v>
      </c>
      <c r="K13" s="152">
        <v>0</v>
      </c>
      <c r="L13" s="491">
        <f>SUM(Table_Default__XLS_TAB_17_2[[#This Row],[LEGISLATORS_CNT]:[NOT_KNOWN_CNT]])</f>
        <v>170</v>
      </c>
      <c r="M13" s="152">
        <v>280</v>
      </c>
      <c r="N13" s="491">
        <f>Table_Default__XLS_TAB_17_2[[#This Row],[TOTAL]]+Table_Default__XLS_TAB_17_2[[#This Row],[NO_OCCUP]]</f>
        <v>450</v>
      </c>
      <c r="O13" s="723" t="s">
        <v>707</v>
      </c>
    </row>
    <row r="14" spans="1:15" ht="32.25" thickBot="1">
      <c r="A14" s="836" t="s">
        <v>235</v>
      </c>
      <c r="B14" s="152">
        <v>0</v>
      </c>
      <c r="C14" s="152">
        <v>15</v>
      </c>
      <c r="D14" s="152">
        <v>11</v>
      </c>
      <c r="E14" s="152">
        <v>19</v>
      </c>
      <c r="F14" s="152">
        <v>16</v>
      </c>
      <c r="G14" s="152">
        <v>0</v>
      </c>
      <c r="H14" s="152">
        <v>0</v>
      </c>
      <c r="I14" s="152">
        <v>0</v>
      </c>
      <c r="J14" s="152">
        <v>4</v>
      </c>
      <c r="K14" s="152">
        <v>0</v>
      </c>
      <c r="L14" s="491">
        <f>SUM(Table_Default__XLS_TAB_17_2[[#This Row],[LEGISLATORS_CNT]:[NOT_KNOWN_CNT]])</f>
        <v>65</v>
      </c>
      <c r="M14" s="152">
        <v>63</v>
      </c>
      <c r="N14" s="491">
        <f>Table_Default__XLS_TAB_17_2[[#This Row],[TOTAL]]+Table_Default__XLS_TAB_17_2[[#This Row],[NO_OCCUP]]</f>
        <v>128</v>
      </c>
      <c r="O14" s="724" t="s">
        <v>1247</v>
      </c>
    </row>
    <row r="15" spans="1:15" ht="32.25" thickBot="1">
      <c r="A15" s="836" t="s">
        <v>1244</v>
      </c>
      <c r="B15" s="152">
        <v>0</v>
      </c>
      <c r="C15" s="152">
        <v>0</v>
      </c>
      <c r="D15" s="152">
        <v>0</v>
      </c>
      <c r="E15" s="152">
        <v>0</v>
      </c>
      <c r="F15" s="152">
        <v>0</v>
      </c>
      <c r="G15" s="152">
        <v>0</v>
      </c>
      <c r="H15" s="152">
        <v>0</v>
      </c>
      <c r="I15" s="152">
        <v>0</v>
      </c>
      <c r="J15" s="152">
        <v>0</v>
      </c>
      <c r="K15" s="152">
        <v>0</v>
      </c>
      <c r="L15" s="491">
        <f>SUM(Table_Default__XLS_TAB_17_2[[#This Row],[LEGISLATORS_CNT]:[NOT_KNOWN_CNT]])</f>
        <v>0</v>
      </c>
      <c r="M15" s="152">
        <v>1</v>
      </c>
      <c r="N15" s="491">
        <f>Table_Default__XLS_TAB_17_2[[#This Row],[TOTAL]]+Table_Default__XLS_TAB_17_2[[#This Row],[NO_OCCUP]]</f>
        <v>1</v>
      </c>
      <c r="O15" s="723" t="s">
        <v>1248</v>
      </c>
    </row>
    <row r="16" spans="1:15" ht="32.25" thickBot="1">
      <c r="A16" s="836" t="s">
        <v>749</v>
      </c>
      <c r="B16" s="152">
        <v>0</v>
      </c>
      <c r="C16" s="152">
        <v>2</v>
      </c>
      <c r="D16" s="152">
        <v>2</v>
      </c>
      <c r="E16" s="152">
        <v>5</v>
      </c>
      <c r="F16" s="152">
        <v>1</v>
      </c>
      <c r="G16" s="152">
        <v>0</v>
      </c>
      <c r="H16" s="152">
        <v>0</v>
      </c>
      <c r="I16" s="152">
        <v>0</v>
      </c>
      <c r="J16" s="152">
        <v>1</v>
      </c>
      <c r="K16" s="152">
        <v>0</v>
      </c>
      <c r="L16" s="491">
        <f>SUM(Table_Default__XLS_TAB_17_2[[#This Row],[LEGISLATORS_CNT]:[NOT_KNOWN_CNT]])</f>
        <v>11</v>
      </c>
      <c r="M16" s="152">
        <v>6</v>
      </c>
      <c r="N16" s="491">
        <f>Table_Default__XLS_TAB_17_2[[#This Row],[TOTAL]]+Table_Default__XLS_TAB_17_2[[#This Row],[NO_OCCUP]]</f>
        <v>17</v>
      </c>
      <c r="O16" s="724" t="s">
        <v>709</v>
      </c>
    </row>
    <row r="17" spans="1:15" ht="32.25" thickBot="1">
      <c r="A17" s="836" t="s">
        <v>750</v>
      </c>
      <c r="B17" s="152">
        <v>0</v>
      </c>
      <c r="C17" s="152">
        <v>6</v>
      </c>
      <c r="D17" s="152">
        <v>4</v>
      </c>
      <c r="E17" s="152">
        <v>4</v>
      </c>
      <c r="F17" s="152">
        <v>7</v>
      </c>
      <c r="G17" s="152">
        <v>0</v>
      </c>
      <c r="H17" s="152">
        <v>0</v>
      </c>
      <c r="I17" s="152">
        <v>0</v>
      </c>
      <c r="J17" s="152">
        <v>2</v>
      </c>
      <c r="K17" s="152">
        <v>0</v>
      </c>
      <c r="L17" s="491">
        <f>SUM(Table_Default__XLS_TAB_17_2[[#This Row],[LEGISLATORS_CNT]:[NOT_KNOWN_CNT]])</f>
        <v>23</v>
      </c>
      <c r="M17" s="152">
        <v>9</v>
      </c>
      <c r="N17" s="491">
        <f>Table_Default__XLS_TAB_17_2[[#This Row],[TOTAL]]+Table_Default__XLS_TAB_17_2[[#This Row],[NO_OCCUP]]</f>
        <v>32</v>
      </c>
      <c r="O17" s="723" t="s">
        <v>1249</v>
      </c>
    </row>
    <row r="18" spans="1:15" ht="22.5" customHeight="1" thickBot="1">
      <c r="A18" s="836" t="s">
        <v>233</v>
      </c>
      <c r="B18" s="152">
        <v>0</v>
      </c>
      <c r="C18" s="152">
        <v>5</v>
      </c>
      <c r="D18" s="152">
        <v>4</v>
      </c>
      <c r="E18" s="152">
        <v>4</v>
      </c>
      <c r="F18" s="152">
        <v>3</v>
      </c>
      <c r="G18" s="152">
        <v>0</v>
      </c>
      <c r="H18" s="152">
        <v>0</v>
      </c>
      <c r="I18" s="152">
        <v>0</v>
      </c>
      <c r="J18" s="152">
        <v>1</v>
      </c>
      <c r="K18" s="152">
        <v>0</v>
      </c>
      <c r="L18" s="491">
        <f>SUM(Table_Default__XLS_TAB_17_2[[#This Row],[LEGISLATORS_CNT]:[NOT_KNOWN_CNT]])</f>
        <v>17</v>
      </c>
      <c r="M18" s="152">
        <v>41</v>
      </c>
      <c r="N18" s="491">
        <f>Table_Default__XLS_TAB_17_2[[#This Row],[TOTAL]]+Table_Default__XLS_TAB_17_2[[#This Row],[NO_OCCUP]]</f>
        <v>58</v>
      </c>
      <c r="O18" s="724" t="s">
        <v>711</v>
      </c>
    </row>
    <row r="19" spans="1:15" ht="31.5" customHeight="1">
      <c r="A19" s="966" t="s">
        <v>232</v>
      </c>
      <c r="B19" s="186">
        <v>0</v>
      </c>
      <c r="C19" s="186">
        <v>0</v>
      </c>
      <c r="D19" s="186">
        <v>0</v>
      </c>
      <c r="E19" s="186">
        <v>0</v>
      </c>
      <c r="F19" s="186">
        <v>0</v>
      </c>
      <c r="G19" s="186">
        <v>0</v>
      </c>
      <c r="H19" s="186">
        <v>0</v>
      </c>
      <c r="I19" s="186">
        <v>0</v>
      </c>
      <c r="J19" s="186">
        <v>0</v>
      </c>
      <c r="K19" s="186">
        <v>0</v>
      </c>
      <c r="L19" s="474">
        <f>SUM(Table_Default__XLS_TAB_17_2[[#This Row],[LEGISLATORS_CNT]:[NOT_KNOWN_CNT]])</f>
        <v>0</v>
      </c>
      <c r="M19" s="455">
        <v>0</v>
      </c>
      <c r="N19" s="474">
        <f>Table_Default__XLS_TAB_17_2[[#This Row],[TOTAL]]+Table_Default__XLS_TAB_17_2[[#This Row],[NO_OCCUP]]</f>
        <v>0</v>
      </c>
      <c r="O19" s="725" t="s">
        <v>231</v>
      </c>
    </row>
    <row r="20" spans="1:15" ht="20.25" customHeight="1">
      <c r="A20" s="974" t="s">
        <v>17</v>
      </c>
      <c r="B20" s="971">
        <f>SUM(B10:B19)</f>
        <v>15</v>
      </c>
      <c r="C20" s="971">
        <f>SUM(C10:C19)</f>
        <v>214</v>
      </c>
      <c r="D20" s="971">
        <f t="shared" ref="D20:M20" si="0">SUM(D10:D19)</f>
        <v>209</v>
      </c>
      <c r="E20" s="971">
        <f t="shared" si="0"/>
        <v>159</v>
      </c>
      <c r="F20" s="971">
        <f t="shared" si="0"/>
        <v>102</v>
      </c>
      <c r="G20" s="971">
        <f t="shared" si="0"/>
        <v>0</v>
      </c>
      <c r="H20" s="971">
        <f t="shared" si="0"/>
        <v>0</v>
      </c>
      <c r="I20" s="971">
        <f t="shared" si="0"/>
        <v>0</v>
      </c>
      <c r="J20" s="971">
        <f t="shared" si="0"/>
        <v>27</v>
      </c>
      <c r="K20" s="971">
        <f t="shared" si="0"/>
        <v>0</v>
      </c>
      <c r="L20" s="971">
        <f>SUM(L10:L19)</f>
        <v>726</v>
      </c>
      <c r="M20" s="971">
        <f t="shared" si="0"/>
        <v>749</v>
      </c>
      <c r="N20" s="971">
        <f>SUM(N10:N19)</f>
        <v>1475</v>
      </c>
      <c r="O20" s="475" t="s">
        <v>56</v>
      </c>
    </row>
    <row r="21" spans="1:15" ht="20.25" customHeight="1">
      <c r="A21" s="969" t="s">
        <v>1290</v>
      </c>
      <c r="B21" s="972">
        <v>0</v>
      </c>
      <c r="C21" s="972">
        <v>7</v>
      </c>
      <c r="D21" s="972">
        <v>4</v>
      </c>
      <c r="E21" s="972">
        <v>5</v>
      </c>
      <c r="F21" s="972">
        <v>0</v>
      </c>
      <c r="G21" s="972">
        <v>0</v>
      </c>
      <c r="H21" s="972">
        <v>0</v>
      </c>
      <c r="I21" s="972">
        <v>0</v>
      </c>
      <c r="J21" s="972">
        <v>0</v>
      </c>
      <c r="K21" s="972">
        <v>0</v>
      </c>
      <c r="L21" s="972">
        <v>16</v>
      </c>
      <c r="M21" s="972">
        <v>53</v>
      </c>
      <c r="N21" s="972">
        <v>69</v>
      </c>
      <c r="O21" s="970" t="s">
        <v>1272</v>
      </c>
    </row>
    <row r="22" spans="1:15" ht="22.5" customHeight="1">
      <c r="A22" s="975" t="s">
        <v>229</v>
      </c>
      <c r="B22" s="959">
        <f>SUM(B20+B21)</f>
        <v>15</v>
      </c>
      <c r="C22" s="959">
        <f t="shared" ref="C22:K22" si="1">SUM(C20+C21)</f>
        <v>221</v>
      </c>
      <c r="D22" s="959">
        <f t="shared" si="1"/>
        <v>213</v>
      </c>
      <c r="E22" s="959">
        <f t="shared" si="1"/>
        <v>164</v>
      </c>
      <c r="F22" s="959">
        <f t="shared" si="1"/>
        <v>102</v>
      </c>
      <c r="G22" s="959">
        <f t="shared" si="1"/>
        <v>0</v>
      </c>
      <c r="H22" s="959">
        <f t="shared" si="1"/>
        <v>0</v>
      </c>
      <c r="I22" s="959">
        <f t="shared" si="1"/>
        <v>0</v>
      </c>
      <c r="J22" s="959">
        <f t="shared" si="1"/>
        <v>27</v>
      </c>
      <c r="K22" s="959">
        <f t="shared" si="1"/>
        <v>0</v>
      </c>
      <c r="L22" s="959">
        <f>SUM(L20+L21)</f>
        <v>742</v>
      </c>
      <c r="M22" s="959">
        <f>SUM(M20+M21)</f>
        <v>802</v>
      </c>
      <c r="N22" s="959">
        <f>SUM(N20+N21)</f>
        <v>1544</v>
      </c>
      <c r="O22" s="965" t="s">
        <v>228</v>
      </c>
    </row>
    <row r="23" spans="1:15" s="2" customFormat="1" ht="14.25">
      <c r="A23" s="964" t="s">
        <v>227</v>
      </c>
      <c r="O23" s="874" t="s">
        <v>1276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56"/>
  <sheetViews>
    <sheetView rightToLeft="1" view="pageBreakPreview" topLeftCell="A10" zoomScaleNormal="75" zoomScaleSheetLayoutView="100" workbookViewId="0">
      <selection activeCell="N21" sqref="N21"/>
    </sheetView>
  </sheetViews>
  <sheetFormatPr defaultColWidth="9.140625" defaultRowHeight="12.75"/>
  <cols>
    <col min="1" max="1" width="26.42578125" style="1" customWidth="1"/>
    <col min="2" max="2" width="8.42578125" style="1" customWidth="1"/>
    <col min="3" max="3" width="12.42578125" style="1" customWidth="1"/>
    <col min="4" max="4" width="10.140625" style="1" customWidth="1"/>
    <col min="5" max="5" width="6.42578125" style="1" bestFit="1" customWidth="1"/>
    <col min="6" max="6" width="9.5703125" style="1" customWidth="1"/>
    <col min="7" max="7" width="9.42578125" style="1" customWidth="1"/>
    <col min="8" max="8" width="12.42578125" style="1" customWidth="1"/>
    <col min="9" max="9" width="9.42578125" style="1" customWidth="1"/>
    <col min="10" max="11" width="7.85546875" style="1" customWidth="1"/>
    <col min="12" max="12" width="8.42578125" style="1" customWidth="1"/>
    <col min="13" max="13" width="7.85546875" style="1" customWidth="1"/>
    <col min="14" max="14" width="9.85546875" style="1" customWidth="1"/>
    <col min="15" max="15" width="30.42578125" style="1" customWidth="1"/>
    <col min="16" max="16384" width="9.140625" style="1"/>
  </cols>
  <sheetData>
    <row r="1" spans="1:15" s="2" customFormat="1" ht="18.75" customHeight="1">
      <c r="A1" s="1120" t="s">
        <v>247</v>
      </c>
      <c r="B1" s="1120"/>
      <c r="C1" s="1120"/>
      <c r="D1" s="1120"/>
      <c r="E1" s="1120"/>
      <c r="F1" s="1120"/>
      <c r="G1" s="1120"/>
      <c r="H1" s="1120"/>
      <c r="I1" s="1120"/>
      <c r="J1" s="1120"/>
      <c r="K1" s="1120"/>
      <c r="L1" s="1120"/>
      <c r="M1" s="1120"/>
      <c r="N1" s="1120"/>
      <c r="O1" s="1120"/>
    </row>
    <row r="2" spans="1:15" s="2" customFormat="1" ht="15.75">
      <c r="A2" s="1121" t="s">
        <v>246</v>
      </c>
      <c r="B2" s="1121"/>
      <c r="C2" s="1121"/>
      <c r="D2" s="1121"/>
      <c r="E2" s="1121"/>
      <c r="F2" s="1121"/>
      <c r="G2" s="1121"/>
      <c r="H2" s="1121"/>
      <c r="I2" s="1121"/>
      <c r="J2" s="1121"/>
      <c r="K2" s="1121"/>
      <c r="L2" s="1121"/>
      <c r="M2" s="1121"/>
      <c r="N2" s="1121"/>
      <c r="O2" s="1121"/>
    </row>
    <row r="3" spans="1:15" s="2" customFormat="1" ht="15" customHeight="1">
      <c r="A3" s="1122">
        <v>2019</v>
      </c>
      <c r="B3" s="1122"/>
      <c r="C3" s="1122"/>
      <c r="D3" s="1122"/>
      <c r="E3" s="1122"/>
      <c r="F3" s="1122"/>
      <c r="G3" s="1122"/>
      <c r="H3" s="1122"/>
      <c r="I3" s="1122"/>
      <c r="J3" s="1122"/>
      <c r="K3" s="1122"/>
      <c r="L3" s="1122"/>
      <c r="M3" s="1122"/>
      <c r="N3" s="1122"/>
      <c r="O3" s="1122"/>
    </row>
    <row r="4" spans="1:15" s="2" customFormat="1" ht="15.75">
      <c r="A4" s="1123" t="s">
        <v>1</v>
      </c>
      <c r="B4" s="1123"/>
      <c r="C4" s="1123"/>
      <c r="D4" s="1123"/>
      <c r="E4" s="1123"/>
      <c r="F4" s="1123"/>
      <c r="G4" s="1123"/>
      <c r="H4" s="1123"/>
      <c r="I4" s="1123"/>
      <c r="J4" s="1123"/>
      <c r="K4" s="1123"/>
      <c r="L4" s="1123"/>
      <c r="M4" s="1123"/>
      <c r="N4" s="1123"/>
      <c r="O4" s="1123"/>
    </row>
    <row r="5" spans="1:15" s="2" customFormat="1" ht="15.75">
      <c r="A5" s="428"/>
      <c r="B5" s="428"/>
      <c r="C5" s="428"/>
      <c r="D5" s="428"/>
      <c r="E5" s="428"/>
      <c r="F5" s="428"/>
      <c r="G5" s="428"/>
      <c r="H5" s="428"/>
      <c r="I5" s="428"/>
      <c r="J5" s="428"/>
      <c r="K5" s="428"/>
      <c r="L5" s="428"/>
      <c r="M5" s="428"/>
      <c r="N5" s="428"/>
      <c r="O5" s="428"/>
    </row>
    <row r="6" spans="1:15" ht="15.75">
      <c r="A6" s="373" t="s">
        <v>273</v>
      </c>
      <c r="B6" s="377"/>
      <c r="C6" s="377"/>
      <c r="D6" s="377"/>
      <c r="E6" s="377"/>
      <c r="F6" s="377"/>
      <c r="G6" s="377"/>
      <c r="H6" s="377"/>
      <c r="I6" s="377"/>
      <c r="J6" s="377"/>
      <c r="K6" s="377"/>
      <c r="L6" s="377"/>
      <c r="M6" s="377"/>
      <c r="N6" s="377"/>
      <c r="O6" s="375" t="s">
        <v>272</v>
      </c>
    </row>
    <row r="7" spans="1:15" ht="20.25" customHeight="1" thickBot="1">
      <c r="A7" s="1099" t="s">
        <v>243</v>
      </c>
      <c r="B7" s="1118" t="s">
        <v>242</v>
      </c>
      <c r="C7" s="1118"/>
      <c r="D7" s="1118"/>
      <c r="E7" s="1118"/>
      <c r="F7" s="1118"/>
      <c r="G7" s="1118"/>
      <c r="H7" s="1118"/>
      <c r="I7" s="1118"/>
      <c r="J7" s="1118"/>
      <c r="K7" s="1118"/>
      <c r="L7" s="1118"/>
      <c r="M7" s="1118"/>
      <c r="N7" s="1118"/>
      <c r="O7" s="1106" t="s">
        <v>241</v>
      </c>
    </row>
    <row r="8" spans="1:15" ht="84" customHeight="1" thickBot="1">
      <c r="A8" s="1117"/>
      <c r="B8" s="329" t="s">
        <v>736</v>
      </c>
      <c r="C8" s="329" t="s">
        <v>238</v>
      </c>
      <c r="D8" s="329" t="s">
        <v>237</v>
      </c>
      <c r="E8" s="329" t="s">
        <v>236</v>
      </c>
      <c r="F8" s="330" t="s">
        <v>235</v>
      </c>
      <c r="G8" s="330" t="s">
        <v>589</v>
      </c>
      <c r="H8" s="330" t="s">
        <v>737</v>
      </c>
      <c r="I8" s="330" t="s">
        <v>738</v>
      </c>
      <c r="J8" s="330" t="s">
        <v>233</v>
      </c>
      <c r="K8" s="330" t="s">
        <v>232</v>
      </c>
      <c r="L8" s="331" t="s">
        <v>17</v>
      </c>
      <c r="M8" s="920" t="s">
        <v>1291</v>
      </c>
      <c r="N8" s="329" t="s">
        <v>240</v>
      </c>
      <c r="O8" s="1119"/>
    </row>
    <row r="9" spans="1:15" ht="60.75" customHeight="1">
      <c r="A9" s="1108"/>
      <c r="B9" s="580" t="s">
        <v>704</v>
      </c>
      <c r="C9" s="580" t="s">
        <v>705</v>
      </c>
      <c r="D9" s="580" t="s">
        <v>706</v>
      </c>
      <c r="E9" s="580" t="s">
        <v>707</v>
      </c>
      <c r="F9" s="580" t="s">
        <v>712</v>
      </c>
      <c r="G9" s="580" t="s">
        <v>708</v>
      </c>
      <c r="H9" s="580" t="s">
        <v>709</v>
      </c>
      <c r="I9" s="580" t="s">
        <v>710</v>
      </c>
      <c r="J9" s="580" t="s">
        <v>711</v>
      </c>
      <c r="K9" s="580" t="s">
        <v>231</v>
      </c>
      <c r="L9" s="580" t="s">
        <v>56</v>
      </c>
      <c r="M9" s="581" t="s">
        <v>713</v>
      </c>
      <c r="N9" s="490" t="s">
        <v>239</v>
      </c>
      <c r="O9" s="1107"/>
    </row>
    <row r="10" spans="1:15" ht="32.25" thickBot="1">
      <c r="A10" s="823" t="s">
        <v>748</v>
      </c>
      <c r="B10" s="429">
        <v>2</v>
      </c>
      <c r="C10" s="429">
        <v>33</v>
      </c>
      <c r="D10" s="429">
        <v>76</v>
      </c>
      <c r="E10" s="429">
        <v>47</v>
      </c>
      <c r="F10" s="429">
        <v>13</v>
      </c>
      <c r="G10" s="429">
        <v>0</v>
      </c>
      <c r="H10" s="429">
        <v>0</v>
      </c>
      <c r="I10" s="429">
        <v>0</v>
      </c>
      <c r="J10" s="429">
        <v>1</v>
      </c>
      <c r="K10" s="429">
        <v>0</v>
      </c>
      <c r="L10" s="491">
        <f>SUM(Table_Default__XLS_TAB_17_3[[#This Row],[LEGISLATORS_CNT]:[NOT_KNOWN_CNT]])</f>
        <v>172</v>
      </c>
      <c r="M10" s="429">
        <v>276</v>
      </c>
      <c r="N10" s="491">
        <f>Table_Default__XLS_TAB_17_3[[#This Row],[TOTAL]]+Table_Default__XLS_TAB_17_3[[#This Row],[NO_OCCUP]]</f>
        <v>448</v>
      </c>
      <c r="O10" s="919" t="s">
        <v>1245</v>
      </c>
    </row>
    <row r="11" spans="1:15" ht="22.5" customHeight="1" thickBot="1">
      <c r="A11" s="836" t="s">
        <v>238</v>
      </c>
      <c r="B11" s="152">
        <v>7</v>
      </c>
      <c r="C11" s="152">
        <v>90</v>
      </c>
      <c r="D11" s="152">
        <v>75</v>
      </c>
      <c r="E11" s="152">
        <v>30</v>
      </c>
      <c r="F11" s="152">
        <v>19</v>
      </c>
      <c r="G11" s="152">
        <v>0</v>
      </c>
      <c r="H11" s="152">
        <v>0</v>
      </c>
      <c r="I11" s="152">
        <v>0</v>
      </c>
      <c r="J11" s="152">
        <v>5</v>
      </c>
      <c r="K11" s="152">
        <v>0</v>
      </c>
      <c r="L11" s="491">
        <f>SUM(Table_Default__XLS_TAB_17_3[[#This Row],[LEGISLATORS_CNT]:[NOT_KNOWN_CNT]])</f>
        <v>226</v>
      </c>
      <c r="M11" s="152">
        <v>177</v>
      </c>
      <c r="N11" s="491">
        <f>Table_Default__XLS_TAB_17_3[[#This Row],[TOTAL]]+Table_Default__XLS_TAB_17_3[[#This Row],[NO_OCCUP]]</f>
        <v>403</v>
      </c>
      <c r="O11" s="723" t="s">
        <v>705</v>
      </c>
    </row>
    <row r="12" spans="1:15" ht="32.25" thickBot="1">
      <c r="A12" s="836" t="s">
        <v>237</v>
      </c>
      <c r="B12" s="152">
        <v>6</v>
      </c>
      <c r="C12" s="152">
        <v>81</v>
      </c>
      <c r="D12" s="152">
        <v>194</v>
      </c>
      <c r="E12" s="152">
        <v>119</v>
      </c>
      <c r="F12" s="152">
        <v>19</v>
      </c>
      <c r="G12" s="152">
        <v>0</v>
      </c>
      <c r="H12" s="152">
        <v>0</v>
      </c>
      <c r="I12" s="152">
        <v>0</v>
      </c>
      <c r="J12" s="152">
        <v>3</v>
      </c>
      <c r="K12" s="152">
        <v>0</v>
      </c>
      <c r="L12" s="491">
        <f>SUM(Table_Default__XLS_TAB_17_3[[#This Row],[LEGISLATORS_CNT]:[NOT_KNOWN_CNT]])</f>
        <v>422</v>
      </c>
      <c r="M12" s="152">
        <v>435</v>
      </c>
      <c r="N12" s="491">
        <f>Table_Default__XLS_TAB_17_3[[#This Row],[TOTAL]]+Table_Default__XLS_TAB_17_3[[#This Row],[NO_OCCUP]]</f>
        <v>857</v>
      </c>
      <c r="O12" s="724" t="s">
        <v>1246</v>
      </c>
    </row>
    <row r="13" spans="1:15" ht="22.5" customHeight="1" thickBot="1">
      <c r="A13" s="836" t="s">
        <v>236</v>
      </c>
      <c r="B13" s="152">
        <v>2</v>
      </c>
      <c r="C13" s="152">
        <v>85</v>
      </c>
      <c r="D13" s="152">
        <v>112</v>
      </c>
      <c r="E13" s="152">
        <v>213</v>
      </c>
      <c r="F13" s="152">
        <v>31</v>
      </c>
      <c r="G13" s="152">
        <v>0</v>
      </c>
      <c r="H13" s="152">
        <v>0</v>
      </c>
      <c r="I13" s="152">
        <v>0</v>
      </c>
      <c r="J13" s="152">
        <v>10</v>
      </c>
      <c r="K13" s="152">
        <v>0</v>
      </c>
      <c r="L13" s="491">
        <f>SUM(Table_Default__XLS_TAB_17_3[[#This Row],[LEGISLATORS_CNT]:[NOT_KNOWN_CNT]])</f>
        <v>453</v>
      </c>
      <c r="M13" s="152">
        <v>806</v>
      </c>
      <c r="N13" s="491">
        <f>Table_Default__XLS_TAB_17_3[[#This Row],[TOTAL]]+Table_Default__XLS_TAB_17_3[[#This Row],[NO_OCCUP]]</f>
        <v>1259</v>
      </c>
      <c r="O13" s="723" t="s">
        <v>707</v>
      </c>
    </row>
    <row r="14" spans="1:15" ht="32.25" thickBot="1">
      <c r="A14" s="836" t="s">
        <v>235</v>
      </c>
      <c r="B14" s="152">
        <v>1</v>
      </c>
      <c r="C14" s="152">
        <v>24</v>
      </c>
      <c r="D14" s="152">
        <v>33</v>
      </c>
      <c r="E14" s="152">
        <v>54</v>
      </c>
      <c r="F14" s="152">
        <v>21</v>
      </c>
      <c r="G14" s="152">
        <v>0</v>
      </c>
      <c r="H14" s="152">
        <v>0</v>
      </c>
      <c r="I14" s="152">
        <v>0</v>
      </c>
      <c r="J14" s="152">
        <v>4</v>
      </c>
      <c r="K14" s="152">
        <v>0</v>
      </c>
      <c r="L14" s="491">
        <f>SUM(Table_Default__XLS_TAB_17_3[[#This Row],[LEGISLATORS_CNT]:[NOT_KNOWN_CNT]])</f>
        <v>137</v>
      </c>
      <c r="M14" s="152">
        <v>181</v>
      </c>
      <c r="N14" s="491">
        <f>Table_Default__XLS_TAB_17_3[[#This Row],[TOTAL]]+Table_Default__XLS_TAB_17_3[[#This Row],[NO_OCCUP]]</f>
        <v>318</v>
      </c>
      <c r="O14" s="724" t="s">
        <v>1247</v>
      </c>
    </row>
    <row r="15" spans="1:15" ht="32.25" thickBot="1">
      <c r="A15" s="836" t="s">
        <v>1244</v>
      </c>
      <c r="B15" s="152">
        <v>0</v>
      </c>
      <c r="C15" s="152">
        <v>0</v>
      </c>
      <c r="D15" s="152">
        <v>0</v>
      </c>
      <c r="E15" s="152">
        <v>0</v>
      </c>
      <c r="F15" s="152">
        <v>0</v>
      </c>
      <c r="G15" s="152">
        <v>0</v>
      </c>
      <c r="H15" s="152">
        <v>0</v>
      </c>
      <c r="I15" s="152">
        <v>0</v>
      </c>
      <c r="J15" s="152">
        <v>0</v>
      </c>
      <c r="K15" s="152">
        <v>0</v>
      </c>
      <c r="L15" s="491">
        <f>SUM(Table_Default__XLS_TAB_17_3[[#This Row],[LEGISLATORS_CNT]:[NOT_KNOWN_CNT]])</f>
        <v>0</v>
      </c>
      <c r="M15" s="152">
        <v>1</v>
      </c>
      <c r="N15" s="491">
        <f>Table_Default__XLS_TAB_17_3[[#This Row],[TOTAL]]+Table_Default__XLS_TAB_17_3[[#This Row],[NO_OCCUP]]</f>
        <v>1</v>
      </c>
      <c r="O15" s="723" t="s">
        <v>1248</v>
      </c>
    </row>
    <row r="16" spans="1:15" ht="32.25" thickBot="1">
      <c r="A16" s="836" t="s">
        <v>749</v>
      </c>
      <c r="B16" s="152">
        <v>0</v>
      </c>
      <c r="C16" s="152">
        <v>2</v>
      </c>
      <c r="D16" s="152">
        <v>2</v>
      </c>
      <c r="E16" s="152">
        <v>5</v>
      </c>
      <c r="F16" s="152">
        <v>1</v>
      </c>
      <c r="G16" s="152">
        <v>0</v>
      </c>
      <c r="H16" s="152">
        <v>0</v>
      </c>
      <c r="I16" s="152">
        <v>0</v>
      </c>
      <c r="J16" s="152">
        <v>1</v>
      </c>
      <c r="K16" s="152">
        <v>0</v>
      </c>
      <c r="L16" s="491">
        <f>SUM(Table_Default__XLS_TAB_17_3[[#This Row],[LEGISLATORS_CNT]:[NOT_KNOWN_CNT]])</f>
        <v>11</v>
      </c>
      <c r="M16" s="152">
        <v>6</v>
      </c>
      <c r="N16" s="491">
        <f>Table_Default__XLS_TAB_17_3[[#This Row],[TOTAL]]+Table_Default__XLS_TAB_17_3[[#This Row],[NO_OCCUP]]</f>
        <v>17</v>
      </c>
      <c r="O16" s="724" t="s">
        <v>709</v>
      </c>
    </row>
    <row r="17" spans="1:15" ht="32.25" thickBot="1">
      <c r="A17" s="836" t="s">
        <v>750</v>
      </c>
      <c r="B17" s="152">
        <v>0</v>
      </c>
      <c r="C17" s="152">
        <v>6</v>
      </c>
      <c r="D17" s="152">
        <v>4</v>
      </c>
      <c r="E17" s="152">
        <v>4</v>
      </c>
      <c r="F17" s="152">
        <v>7</v>
      </c>
      <c r="G17" s="152">
        <v>0</v>
      </c>
      <c r="H17" s="152">
        <v>0</v>
      </c>
      <c r="I17" s="152">
        <v>0</v>
      </c>
      <c r="J17" s="152">
        <v>2</v>
      </c>
      <c r="K17" s="152">
        <v>0</v>
      </c>
      <c r="L17" s="491">
        <f>SUM(Table_Default__XLS_TAB_17_3[[#This Row],[LEGISLATORS_CNT]:[NOT_KNOWN_CNT]])</f>
        <v>23</v>
      </c>
      <c r="M17" s="152">
        <v>13</v>
      </c>
      <c r="N17" s="491">
        <f>Table_Default__XLS_TAB_17_3[[#This Row],[TOTAL]]+Table_Default__XLS_TAB_17_3[[#This Row],[NO_OCCUP]]</f>
        <v>36</v>
      </c>
      <c r="O17" s="723" t="s">
        <v>1249</v>
      </c>
    </row>
    <row r="18" spans="1:15" ht="22.5" customHeight="1" thickBot="1">
      <c r="A18" s="836" t="s">
        <v>233</v>
      </c>
      <c r="B18" s="152">
        <v>0</v>
      </c>
      <c r="C18" s="152">
        <v>8</v>
      </c>
      <c r="D18" s="152">
        <v>5</v>
      </c>
      <c r="E18" s="152">
        <v>15</v>
      </c>
      <c r="F18" s="152">
        <v>4</v>
      </c>
      <c r="G18" s="152">
        <v>0</v>
      </c>
      <c r="H18" s="152">
        <v>0</v>
      </c>
      <c r="I18" s="152">
        <v>0</v>
      </c>
      <c r="J18" s="152">
        <v>1</v>
      </c>
      <c r="K18" s="152">
        <v>0</v>
      </c>
      <c r="L18" s="491">
        <f>SUM(Table_Default__XLS_TAB_17_3[[#This Row],[LEGISLATORS_CNT]:[NOT_KNOWN_CNT]])</f>
        <v>33</v>
      </c>
      <c r="M18" s="152">
        <v>65</v>
      </c>
      <c r="N18" s="491">
        <f>Table_Default__XLS_TAB_17_3[[#This Row],[TOTAL]]+Table_Default__XLS_TAB_17_3[[#This Row],[NO_OCCUP]]</f>
        <v>98</v>
      </c>
      <c r="O18" s="724" t="s">
        <v>711</v>
      </c>
    </row>
    <row r="19" spans="1:15" ht="31.5" customHeight="1">
      <c r="A19" s="966" t="s">
        <v>232</v>
      </c>
      <c r="B19" s="153">
        <v>0</v>
      </c>
      <c r="C19" s="153">
        <v>0</v>
      </c>
      <c r="D19" s="153">
        <v>0</v>
      </c>
      <c r="E19" s="153">
        <v>0</v>
      </c>
      <c r="F19" s="153">
        <v>0</v>
      </c>
      <c r="G19" s="153">
        <v>0</v>
      </c>
      <c r="H19" s="153">
        <v>0</v>
      </c>
      <c r="I19" s="153">
        <v>0</v>
      </c>
      <c r="J19" s="153">
        <v>0</v>
      </c>
      <c r="K19" s="153">
        <v>0</v>
      </c>
      <c r="L19" s="474">
        <f>SUM(Table_Default__XLS_TAB_17_3[[#This Row],[LEGISLATORS_CNT]:[NOT_KNOWN_CNT]])</f>
        <v>0</v>
      </c>
      <c r="M19" s="153">
        <v>0</v>
      </c>
      <c r="N19" s="474">
        <f>Table_Default__XLS_TAB_17_3[[#This Row],[TOTAL]]+Table_Default__XLS_TAB_17_3[[#This Row],[NO_OCCUP]]</f>
        <v>0</v>
      </c>
      <c r="O19" s="725" t="s">
        <v>231</v>
      </c>
    </row>
    <row r="20" spans="1:15" ht="22.5" customHeight="1">
      <c r="A20" s="967" t="s">
        <v>17</v>
      </c>
      <c r="B20" s="456">
        <f>SUM(B10:B19)</f>
        <v>18</v>
      </c>
      <c r="C20" s="456">
        <f t="shared" ref="C20:M20" si="0">SUM(C10:C19)</f>
        <v>329</v>
      </c>
      <c r="D20" s="456">
        <f t="shared" si="0"/>
        <v>501</v>
      </c>
      <c r="E20" s="456">
        <f t="shared" si="0"/>
        <v>487</v>
      </c>
      <c r="F20" s="456">
        <f t="shared" si="0"/>
        <v>115</v>
      </c>
      <c r="G20" s="456">
        <f t="shared" si="0"/>
        <v>0</v>
      </c>
      <c r="H20" s="456">
        <f t="shared" si="0"/>
        <v>0</v>
      </c>
      <c r="I20" s="456">
        <f t="shared" si="0"/>
        <v>0</v>
      </c>
      <c r="J20" s="456">
        <f t="shared" si="0"/>
        <v>27</v>
      </c>
      <c r="K20" s="456">
        <f t="shared" si="0"/>
        <v>0</v>
      </c>
      <c r="L20" s="456">
        <f t="shared" si="0"/>
        <v>1477</v>
      </c>
      <c r="M20" s="456">
        <f t="shared" si="0"/>
        <v>1960</v>
      </c>
      <c r="N20" s="456">
        <f>SUM(N10:N19)</f>
        <v>3437</v>
      </c>
      <c r="O20" s="298" t="s">
        <v>56</v>
      </c>
    </row>
    <row r="21" spans="1:15" ht="22.5" customHeight="1">
      <c r="A21" s="862" t="s">
        <v>1290</v>
      </c>
      <c r="B21" s="186">
        <v>0</v>
      </c>
      <c r="C21" s="186">
        <v>10</v>
      </c>
      <c r="D21" s="186">
        <v>16</v>
      </c>
      <c r="E21" s="186">
        <v>13</v>
      </c>
      <c r="F21" s="186">
        <v>1</v>
      </c>
      <c r="G21" s="186">
        <v>0</v>
      </c>
      <c r="H21" s="186">
        <v>0</v>
      </c>
      <c r="I21" s="186">
        <v>0</v>
      </c>
      <c r="J21" s="186">
        <v>1</v>
      </c>
      <c r="K21" s="186">
        <v>0</v>
      </c>
      <c r="L21" s="186">
        <v>41</v>
      </c>
      <c r="M21" s="186">
        <v>143</v>
      </c>
      <c r="N21" s="186">
        <v>184</v>
      </c>
      <c r="O21" s="863" t="s">
        <v>1272</v>
      </c>
    </row>
    <row r="22" spans="1:15" ht="22.5" customHeight="1">
      <c r="A22" s="968" t="s">
        <v>229</v>
      </c>
      <c r="B22" s="917">
        <f>B20+B21</f>
        <v>18</v>
      </c>
      <c r="C22" s="917">
        <f t="shared" ref="C22:N22" si="1">C20+C21</f>
        <v>339</v>
      </c>
      <c r="D22" s="917">
        <f t="shared" si="1"/>
        <v>517</v>
      </c>
      <c r="E22" s="917">
        <f t="shared" si="1"/>
        <v>500</v>
      </c>
      <c r="F22" s="917">
        <f t="shared" si="1"/>
        <v>116</v>
      </c>
      <c r="G22" s="917">
        <f t="shared" si="1"/>
        <v>0</v>
      </c>
      <c r="H22" s="917">
        <f t="shared" si="1"/>
        <v>0</v>
      </c>
      <c r="I22" s="917">
        <f t="shared" si="1"/>
        <v>0</v>
      </c>
      <c r="J22" s="917">
        <f t="shared" si="1"/>
        <v>28</v>
      </c>
      <c r="K22" s="917">
        <f t="shared" si="1"/>
        <v>0</v>
      </c>
      <c r="L22" s="917">
        <f t="shared" si="1"/>
        <v>1518</v>
      </c>
      <c r="M22" s="917">
        <f t="shared" si="1"/>
        <v>2103</v>
      </c>
      <c r="N22" s="917">
        <f t="shared" si="1"/>
        <v>3621</v>
      </c>
      <c r="O22" s="918" t="s">
        <v>228</v>
      </c>
    </row>
    <row r="23" spans="1:15" ht="14.25">
      <c r="A23" s="964" t="s">
        <v>227</v>
      </c>
      <c r="O23" s="874" t="s">
        <v>1276</v>
      </c>
    </row>
    <row r="26" spans="1:15">
      <c r="B26" s="102"/>
    </row>
    <row r="27" spans="1:15">
      <c r="A27" s="1" t="s">
        <v>250</v>
      </c>
      <c r="B27" s="1" t="s">
        <v>223</v>
      </c>
      <c r="C27" s="1" t="s">
        <v>222</v>
      </c>
    </row>
    <row r="28" spans="1:15">
      <c r="A28" s="1" t="s">
        <v>258</v>
      </c>
      <c r="B28" s="102">
        <f>N13</f>
        <v>1259</v>
      </c>
      <c r="C28" s="102">
        <f>E22</f>
        <v>500</v>
      </c>
    </row>
    <row r="29" spans="1:15">
      <c r="A29" s="1" t="s">
        <v>253</v>
      </c>
      <c r="B29" s="102">
        <f>N18</f>
        <v>98</v>
      </c>
      <c r="C29" s="102">
        <f>J22</f>
        <v>28</v>
      </c>
    </row>
    <row r="30" spans="1:15">
      <c r="A30" s="1" t="s">
        <v>257</v>
      </c>
      <c r="B30" s="102">
        <f>N14</f>
        <v>318</v>
      </c>
      <c r="C30" s="102">
        <f>F22</f>
        <v>116</v>
      </c>
    </row>
    <row r="31" spans="1:15">
      <c r="A31" s="1" t="s">
        <v>260</v>
      </c>
      <c r="B31" s="102">
        <f>N11</f>
        <v>403</v>
      </c>
      <c r="C31" s="102">
        <f>C22</f>
        <v>339</v>
      </c>
    </row>
    <row r="32" spans="1:15">
      <c r="A32" s="1" t="s">
        <v>259</v>
      </c>
      <c r="B32" s="102">
        <f>N12</f>
        <v>857</v>
      </c>
      <c r="C32" s="102">
        <f>D22</f>
        <v>517</v>
      </c>
    </row>
    <row r="33" spans="1:4" ht="51">
      <c r="A33" s="13" t="s">
        <v>739</v>
      </c>
      <c r="B33" s="102">
        <f>N10</f>
        <v>448</v>
      </c>
      <c r="C33" s="102">
        <f>B22</f>
        <v>18</v>
      </c>
    </row>
    <row r="34" spans="1:4">
      <c r="A34" s="1" t="s">
        <v>251</v>
      </c>
      <c r="B34" s="102">
        <f>N21</f>
        <v>184</v>
      </c>
      <c r="C34" s="102">
        <f>M22</f>
        <v>2103</v>
      </c>
    </row>
    <row r="35" spans="1:4" ht="25.5">
      <c r="A35" s="13" t="s">
        <v>730</v>
      </c>
      <c r="B35" s="1">
        <f>B44</f>
        <v>54</v>
      </c>
      <c r="C35" s="1">
        <f>C44</f>
        <v>0</v>
      </c>
    </row>
    <row r="36" spans="1:4">
      <c r="B36" s="1">
        <f>SUM(B28:B35)</f>
        <v>3621</v>
      </c>
      <c r="C36" s="1">
        <f>SUM(C28:C35)</f>
        <v>3621</v>
      </c>
      <c r="D36" s="1">
        <f>SUM(B36:C36)</f>
        <v>7242</v>
      </c>
    </row>
    <row r="40" spans="1:4">
      <c r="A40" s="1" t="s">
        <v>255</v>
      </c>
      <c r="B40" s="102">
        <f>N16</f>
        <v>17</v>
      </c>
      <c r="C40" s="1">
        <f>H22</f>
        <v>0</v>
      </c>
    </row>
    <row r="41" spans="1:4">
      <c r="A41" s="1" t="s">
        <v>254</v>
      </c>
      <c r="B41" s="1">
        <f>N17</f>
        <v>36</v>
      </c>
      <c r="C41" s="1">
        <f>I22</f>
        <v>0</v>
      </c>
    </row>
    <row r="42" spans="1:4">
      <c r="A42" s="1" t="s">
        <v>256</v>
      </c>
      <c r="B42" s="1">
        <f>N15</f>
        <v>1</v>
      </c>
      <c r="C42" s="1">
        <f>G22</f>
        <v>0</v>
      </c>
    </row>
    <row r="43" spans="1:4">
      <c r="A43" s="1" t="s">
        <v>252</v>
      </c>
      <c r="B43" s="1">
        <f>N19</f>
        <v>0</v>
      </c>
      <c r="C43" s="1">
        <f>K22</f>
        <v>0</v>
      </c>
    </row>
    <row r="44" spans="1:4">
      <c r="B44" s="1">
        <f>SUM(B40:B43)</f>
        <v>54</v>
      </c>
      <c r="C44" s="1">
        <f>SUM(C40:C43)</f>
        <v>0</v>
      </c>
    </row>
    <row r="45" spans="1:4">
      <c r="A45" s="13"/>
    </row>
    <row r="48" spans="1:4">
      <c r="B48" s="102"/>
    </row>
    <row r="51" spans="2:3">
      <c r="B51" s="600"/>
      <c r="C51" s="600"/>
    </row>
    <row r="56" spans="2:3">
      <c r="B56" s="102"/>
    </row>
  </sheetData>
  <sortState ref="A44:C54">
    <sortCondition descending="1" ref="B44"/>
  </sortState>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M34"/>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1" ht="36.75" customHeight="1"/>
    <row r="34" spans="1:13" ht="15.75">
      <c r="A34" s="1038" t="s">
        <v>263</v>
      </c>
      <c r="B34" s="1038"/>
      <c r="C34" s="1038"/>
      <c r="D34" s="1038"/>
      <c r="E34" s="1038"/>
      <c r="F34" s="1038"/>
      <c r="G34" s="1038"/>
      <c r="H34" s="1038"/>
      <c r="I34" s="1038"/>
      <c r="J34" s="1038"/>
      <c r="K34" s="1038"/>
      <c r="L34" s="1038"/>
      <c r="M34" s="1038"/>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R23"/>
  <sheetViews>
    <sheetView rightToLeft="1" view="pageBreakPreview" topLeftCell="A5" zoomScaleNormal="100" zoomScaleSheetLayoutView="100" workbookViewId="0">
      <selection activeCell="M11" sqref="M11"/>
    </sheetView>
  </sheetViews>
  <sheetFormatPr defaultColWidth="9.140625" defaultRowHeight="12.75"/>
  <cols>
    <col min="1" max="1" width="19.42578125" style="1" customWidth="1"/>
    <col min="2" max="11" width="8.42578125" style="1" customWidth="1"/>
    <col min="12" max="12" width="10.42578125" style="1" customWidth="1"/>
    <col min="13" max="13" width="8.42578125" style="1" customWidth="1"/>
    <col min="14" max="14" width="20.42578125" style="1" customWidth="1"/>
    <col min="15" max="16384" width="9.140625" style="1"/>
  </cols>
  <sheetData>
    <row r="1" spans="1:18" s="2" customFormat="1" ht="21.75" customHeight="1">
      <c r="A1" s="1009" t="s">
        <v>268</v>
      </c>
      <c r="B1" s="1009"/>
      <c r="C1" s="1009"/>
      <c r="D1" s="1009"/>
      <c r="E1" s="1009"/>
      <c r="F1" s="1009"/>
      <c r="G1" s="1009"/>
      <c r="H1" s="1009"/>
      <c r="I1" s="1009"/>
      <c r="J1" s="1009"/>
      <c r="K1" s="1009"/>
      <c r="L1" s="1009"/>
      <c r="M1" s="1009"/>
      <c r="N1" s="1009"/>
    </row>
    <row r="2" spans="1:18" s="2" customFormat="1" ht="32.25" customHeight="1">
      <c r="A2" s="1036" t="s">
        <v>267</v>
      </c>
      <c r="B2" s="1036"/>
      <c r="C2" s="1036"/>
      <c r="D2" s="1036"/>
      <c r="E2" s="1036"/>
      <c r="F2" s="1036"/>
      <c r="G2" s="1036"/>
      <c r="H2" s="1036"/>
      <c r="I2" s="1036"/>
      <c r="J2" s="1036"/>
      <c r="K2" s="1036"/>
      <c r="L2" s="1036"/>
      <c r="M2" s="1036"/>
      <c r="N2" s="1036"/>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t="s">
        <v>266</v>
      </c>
      <c r="B4" s="1037"/>
      <c r="C4" s="1037"/>
      <c r="D4" s="1037"/>
      <c r="E4" s="1037"/>
      <c r="F4" s="1037"/>
      <c r="G4" s="1037"/>
      <c r="H4" s="1037"/>
      <c r="I4" s="1037"/>
      <c r="J4" s="1037"/>
      <c r="K4" s="1037"/>
      <c r="L4" s="1037"/>
      <c r="M4" s="1037"/>
      <c r="N4" s="1037"/>
    </row>
    <row r="5" spans="1:18" s="2" customFormat="1" ht="15.75">
      <c r="A5" s="361"/>
      <c r="B5" s="361"/>
      <c r="C5" s="361"/>
      <c r="D5" s="361"/>
      <c r="E5" s="361"/>
      <c r="F5" s="361"/>
      <c r="G5" s="361"/>
      <c r="H5" s="361"/>
      <c r="I5" s="361"/>
      <c r="J5" s="361"/>
      <c r="K5" s="361"/>
      <c r="L5" s="361"/>
      <c r="M5" s="361"/>
      <c r="N5" s="361"/>
    </row>
    <row r="6" spans="1:18" ht="15.75">
      <c r="A6" s="373" t="s">
        <v>399</v>
      </c>
      <c r="B6" s="377"/>
      <c r="C6" s="377"/>
      <c r="D6" s="377"/>
      <c r="E6" s="377"/>
      <c r="F6" s="377"/>
      <c r="G6" s="377"/>
      <c r="H6" s="377"/>
      <c r="I6" s="377"/>
      <c r="J6" s="377"/>
      <c r="K6" s="377"/>
      <c r="L6" s="377"/>
      <c r="M6" s="377"/>
      <c r="N6" s="375" t="s">
        <v>400</v>
      </c>
    </row>
    <row r="7" spans="1:18" ht="26.25" customHeight="1" thickBot="1">
      <c r="A7" s="1099" t="s">
        <v>143</v>
      </c>
      <c r="B7" s="1087" t="s">
        <v>136</v>
      </c>
      <c r="C7" s="1087"/>
      <c r="D7" s="1087"/>
      <c r="E7" s="1087"/>
      <c r="F7" s="1087"/>
      <c r="G7" s="1087"/>
      <c r="H7" s="1087"/>
      <c r="I7" s="1087"/>
      <c r="J7" s="1087"/>
      <c r="K7" s="1087"/>
      <c r="L7" s="1087"/>
      <c r="M7" s="1087"/>
      <c r="N7" s="1101" t="s">
        <v>142</v>
      </c>
    </row>
    <row r="8" spans="1:18" ht="35.25" customHeight="1">
      <c r="A8" s="1108"/>
      <c r="B8" s="319">
        <v>-20</v>
      </c>
      <c r="C8" s="319" t="s">
        <v>128</v>
      </c>
      <c r="D8" s="319" t="s">
        <v>127</v>
      </c>
      <c r="E8" s="319" t="s">
        <v>126</v>
      </c>
      <c r="F8" s="319" t="s">
        <v>125</v>
      </c>
      <c r="G8" s="319" t="s">
        <v>124</v>
      </c>
      <c r="H8" s="319" t="s">
        <v>123</v>
      </c>
      <c r="I8" s="319" t="s">
        <v>122</v>
      </c>
      <c r="J8" s="319" t="s">
        <v>121</v>
      </c>
      <c r="K8" s="319" t="s">
        <v>133</v>
      </c>
      <c r="L8" s="509" t="s">
        <v>627</v>
      </c>
      <c r="M8" s="319" t="s">
        <v>628</v>
      </c>
      <c r="N8" s="1124"/>
    </row>
    <row r="9" spans="1:18" ht="19.5" customHeight="1" thickBot="1">
      <c r="A9" s="133" t="s">
        <v>437</v>
      </c>
      <c r="B9" s="151">
        <v>9</v>
      </c>
      <c r="C9" s="151">
        <v>4</v>
      </c>
      <c r="D9" s="151">
        <v>0</v>
      </c>
      <c r="E9" s="151">
        <v>0</v>
      </c>
      <c r="F9" s="151">
        <v>0</v>
      </c>
      <c r="G9" s="151">
        <v>0</v>
      </c>
      <c r="H9" s="151">
        <v>0</v>
      </c>
      <c r="I9" s="151">
        <v>0</v>
      </c>
      <c r="J9" s="151">
        <v>0</v>
      </c>
      <c r="K9" s="151">
        <v>0</v>
      </c>
      <c r="L9" s="151">
        <v>0</v>
      </c>
      <c r="M9" s="299">
        <f>SUM(Table_Default__XLS_TAB_18_1[[#This Row],[AGE_LEVEL_LESS_20]:[AGE_LEVEL_NOT_STATED]])</f>
        <v>13</v>
      </c>
      <c r="N9" s="103" t="s">
        <v>437</v>
      </c>
    </row>
    <row r="10" spans="1:18" ht="19.5" customHeight="1" thickBot="1">
      <c r="A10" s="187" t="s">
        <v>128</v>
      </c>
      <c r="B10" s="152">
        <v>75</v>
      </c>
      <c r="C10" s="152">
        <v>126</v>
      </c>
      <c r="D10" s="152">
        <v>14</v>
      </c>
      <c r="E10" s="152">
        <v>1</v>
      </c>
      <c r="F10" s="152">
        <v>0</v>
      </c>
      <c r="G10" s="152">
        <v>0</v>
      </c>
      <c r="H10" s="152">
        <v>0</v>
      </c>
      <c r="I10" s="152">
        <v>0</v>
      </c>
      <c r="J10" s="152">
        <v>0</v>
      </c>
      <c r="K10" s="152">
        <v>0</v>
      </c>
      <c r="L10" s="152">
        <v>0</v>
      </c>
      <c r="M10" s="299">
        <f>SUM(Table_Default__XLS_TAB_18_1[[#This Row],[AGE_LEVEL_LESS_20]:[AGE_LEVEL_NOT_STATED]])</f>
        <v>216</v>
      </c>
      <c r="N10" s="188" t="s">
        <v>128</v>
      </c>
    </row>
    <row r="11" spans="1:18" ht="19.5" customHeight="1" thickBot="1">
      <c r="A11" s="187" t="s">
        <v>127</v>
      </c>
      <c r="B11" s="152">
        <v>30</v>
      </c>
      <c r="C11" s="152">
        <v>107</v>
      </c>
      <c r="D11" s="152">
        <v>53</v>
      </c>
      <c r="E11" s="152">
        <v>3</v>
      </c>
      <c r="F11" s="152">
        <v>0</v>
      </c>
      <c r="G11" s="152">
        <v>0</v>
      </c>
      <c r="H11" s="152">
        <v>0</v>
      </c>
      <c r="I11" s="152">
        <v>0</v>
      </c>
      <c r="J11" s="152">
        <v>0</v>
      </c>
      <c r="K11" s="152">
        <v>0</v>
      </c>
      <c r="L11" s="152">
        <v>0</v>
      </c>
      <c r="M11" s="299">
        <f>SUM(Table_Default__XLS_TAB_18_1[[#This Row],[AGE_LEVEL_LESS_20]:[AGE_LEVEL_NOT_STATED]])</f>
        <v>193</v>
      </c>
      <c r="N11" s="188" t="s">
        <v>127</v>
      </c>
    </row>
    <row r="12" spans="1:18" ht="19.5" customHeight="1" thickBot="1">
      <c r="A12" s="187" t="s">
        <v>126</v>
      </c>
      <c r="B12" s="152">
        <v>6</v>
      </c>
      <c r="C12" s="152">
        <v>13</v>
      </c>
      <c r="D12" s="152">
        <v>14</v>
      </c>
      <c r="E12" s="152">
        <v>7</v>
      </c>
      <c r="F12" s="152">
        <v>1</v>
      </c>
      <c r="G12" s="152">
        <v>2</v>
      </c>
      <c r="H12" s="152">
        <v>0</v>
      </c>
      <c r="I12" s="152">
        <v>0</v>
      </c>
      <c r="J12" s="152">
        <v>0</v>
      </c>
      <c r="K12" s="152">
        <v>0</v>
      </c>
      <c r="L12" s="152">
        <v>0</v>
      </c>
      <c r="M12" s="299">
        <f>SUM(Table_Default__XLS_TAB_18_1[[#This Row],[AGE_LEVEL_LESS_20]:[AGE_LEVEL_NOT_STATED]])</f>
        <v>43</v>
      </c>
      <c r="N12" s="188" t="s">
        <v>126</v>
      </c>
    </row>
    <row r="13" spans="1:18" ht="19.5" customHeight="1" thickBot="1">
      <c r="A13" s="187" t="s">
        <v>125</v>
      </c>
      <c r="B13" s="152">
        <v>0</v>
      </c>
      <c r="C13" s="152">
        <v>4</v>
      </c>
      <c r="D13" s="152">
        <v>1</v>
      </c>
      <c r="E13" s="152">
        <v>3</v>
      </c>
      <c r="F13" s="152">
        <v>4</v>
      </c>
      <c r="G13" s="152">
        <v>0</v>
      </c>
      <c r="H13" s="152">
        <v>0</v>
      </c>
      <c r="I13" s="152">
        <v>0</v>
      </c>
      <c r="J13" s="152">
        <v>0</v>
      </c>
      <c r="K13" s="152">
        <v>0</v>
      </c>
      <c r="L13" s="152">
        <v>0</v>
      </c>
      <c r="M13" s="299">
        <f>SUM(Table_Default__XLS_TAB_18_1[[#This Row],[AGE_LEVEL_LESS_20]:[AGE_LEVEL_NOT_STATED]])</f>
        <v>12</v>
      </c>
      <c r="N13" s="188" t="s">
        <v>125</v>
      </c>
    </row>
    <row r="14" spans="1:18" ht="19.5" customHeight="1" thickBot="1">
      <c r="A14" s="187" t="s">
        <v>124</v>
      </c>
      <c r="B14" s="152">
        <v>0</v>
      </c>
      <c r="C14" s="152">
        <v>0</v>
      </c>
      <c r="D14" s="152">
        <v>1</v>
      </c>
      <c r="E14" s="152">
        <v>2</v>
      </c>
      <c r="F14" s="152">
        <v>1</v>
      </c>
      <c r="G14" s="152">
        <v>2</v>
      </c>
      <c r="H14" s="152">
        <v>0</v>
      </c>
      <c r="I14" s="152">
        <v>0</v>
      </c>
      <c r="J14" s="152">
        <v>0</v>
      </c>
      <c r="K14" s="152">
        <v>0</v>
      </c>
      <c r="L14" s="152">
        <v>0</v>
      </c>
      <c r="M14" s="299">
        <f>SUM(Table_Default__XLS_TAB_18_1[[#This Row],[AGE_LEVEL_LESS_20]:[AGE_LEVEL_NOT_STATED]])</f>
        <v>6</v>
      </c>
      <c r="N14" s="188" t="s">
        <v>124</v>
      </c>
    </row>
    <row r="15" spans="1:18" ht="19.5" customHeight="1" thickBot="1">
      <c r="A15" s="187" t="s">
        <v>123</v>
      </c>
      <c r="B15" s="152">
        <v>0</v>
      </c>
      <c r="C15" s="152">
        <v>0</v>
      </c>
      <c r="D15" s="152">
        <v>0</v>
      </c>
      <c r="E15" s="152">
        <v>0</v>
      </c>
      <c r="F15" s="152">
        <v>1</v>
      </c>
      <c r="G15" s="152">
        <v>0</v>
      </c>
      <c r="H15" s="152">
        <v>1</v>
      </c>
      <c r="I15" s="152">
        <v>0</v>
      </c>
      <c r="J15" s="152">
        <v>0</v>
      </c>
      <c r="K15" s="152">
        <v>0</v>
      </c>
      <c r="L15" s="152">
        <v>0</v>
      </c>
      <c r="M15" s="299">
        <f>SUM(Table_Default__XLS_TAB_18_1[[#This Row],[AGE_LEVEL_LESS_20]:[AGE_LEVEL_NOT_STATED]])</f>
        <v>2</v>
      </c>
      <c r="N15" s="188" t="s">
        <v>123</v>
      </c>
    </row>
    <row r="16" spans="1:18" ht="19.5" customHeight="1" thickBot="1">
      <c r="A16" s="187" t="s">
        <v>122</v>
      </c>
      <c r="B16" s="152">
        <v>0</v>
      </c>
      <c r="C16" s="152">
        <v>0</v>
      </c>
      <c r="D16" s="152">
        <v>0</v>
      </c>
      <c r="E16" s="152">
        <v>0</v>
      </c>
      <c r="F16" s="152">
        <v>1</v>
      </c>
      <c r="G16" s="152">
        <v>3</v>
      </c>
      <c r="H16" s="152">
        <v>0</v>
      </c>
      <c r="I16" s="152">
        <v>0</v>
      </c>
      <c r="J16" s="152">
        <v>0</v>
      </c>
      <c r="K16" s="152">
        <v>0</v>
      </c>
      <c r="L16" s="152">
        <v>0</v>
      </c>
      <c r="M16" s="299">
        <f>SUM(Table_Default__XLS_TAB_18_1[[#This Row],[AGE_LEVEL_LESS_20]:[AGE_LEVEL_NOT_STATED]])</f>
        <v>4</v>
      </c>
      <c r="N16" s="188" t="s">
        <v>122</v>
      </c>
    </row>
    <row r="17" spans="1:14" ht="19.5" customHeight="1" thickBot="1">
      <c r="A17" s="187" t="s">
        <v>121</v>
      </c>
      <c r="B17" s="152">
        <v>0</v>
      </c>
      <c r="C17" s="152">
        <v>0</v>
      </c>
      <c r="D17" s="152">
        <v>0</v>
      </c>
      <c r="E17" s="152">
        <v>0</v>
      </c>
      <c r="F17" s="152">
        <v>0</v>
      </c>
      <c r="G17" s="152">
        <v>0</v>
      </c>
      <c r="H17" s="152">
        <v>0</v>
      </c>
      <c r="I17" s="152">
        <v>0</v>
      </c>
      <c r="J17" s="152">
        <v>0</v>
      </c>
      <c r="K17" s="152">
        <v>0</v>
      </c>
      <c r="L17" s="152">
        <v>0</v>
      </c>
      <c r="M17" s="299">
        <f>SUM(Table_Default__XLS_TAB_18_1[[#This Row],[AGE_LEVEL_LESS_20]:[AGE_LEVEL_NOT_STATED]])</f>
        <v>0</v>
      </c>
      <c r="N17" s="188" t="s">
        <v>121</v>
      </c>
    </row>
    <row r="18" spans="1:14" ht="19.5" customHeight="1" thickBot="1">
      <c r="A18" s="187" t="s">
        <v>120</v>
      </c>
      <c r="B18" s="152">
        <v>0</v>
      </c>
      <c r="C18" s="152">
        <v>0</v>
      </c>
      <c r="D18" s="152">
        <v>0</v>
      </c>
      <c r="E18" s="152">
        <v>0</v>
      </c>
      <c r="F18" s="152">
        <v>0</v>
      </c>
      <c r="G18" s="152">
        <v>0</v>
      </c>
      <c r="H18" s="152">
        <v>0</v>
      </c>
      <c r="I18" s="152">
        <v>0</v>
      </c>
      <c r="J18" s="152">
        <v>0</v>
      </c>
      <c r="K18" s="152">
        <v>0</v>
      </c>
      <c r="L18" s="152">
        <v>0</v>
      </c>
      <c r="M18" s="299">
        <f>SUM(Table_Default__XLS_TAB_18_1[[#This Row],[AGE_LEVEL_LESS_20]:[AGE_LEVEL_NOT_STATED]])</f>
        <v>0</v>
      </c>
      <c r="N18" s="188" t="s">
        <v>120</v>
      </c>
    </row>
    <row r="19" spans="1:14" ht="19.5" customHeight="1" thickBot="1">
      <c r="A19" s="187" t="s">
        <v>119</v>
      </c>
      <c r="B19" s="152">
        <v>0</v>
      </c>
      <c r="C19" s="152">
        <v>0</v>
      </c>
      <c r="D19" s="152">
        <v>0</v>
      </c>
      <c r="E19" s="152">
        <v>0</v>
      </c>
      <c r="F19" s="152">
        <v>0</v>
      </c>
      <c r="G19" s="152">
        <v>0</v>
      </c>
      <c r="H19" s="152">
        <v>0</v>
      </c>
      <c r="I19" s="152">
        <v>0</v>
      </c>
      <c r="J19" s="152">
        <v>1</v>
      </c>
      <c r="K19" s="152">
        <v>0</v>
      </c>
      <c r="L19" s="152">
        <v>0</v>
      </c>
      <c r="M19" s="299">
        <f>SUM(Table_Default__XLS_TAB_18_1[[#This Row],[AGE_LEVEL_LESS_20]:[AGE_LEVEL_NOT_STATED]])</f>
        <v>1</v>
      </c>
      <c r="N19" s="188" t="s">
        <v>119</v>
      </c>
    </row>
    <row r="20" spans="1:14" ht="19.5" customHeight="1" thickBot="1">
      <c r="A20" s="187" t="s">
        <v>118</v>
      </c>
      <c r="B20" s="152">
        <v>0</v>
      </c>
      <c r="C20" s="152">
        <v>0</v>
      </c>
      <c r="D20" s="152">
        <v>0</v>
      </c>
      <c r="E20" s="152">
        <v>0</v>
      </c>
      <c r="F20" s="152">
        <v>0</v>
      </c>
      <c r="G20" s="152">
        <v>0</v>
      </c>
      <c r="H20" s="152">
        <v>0</v>
      </c>
      <c r="I20" s="152">
        <v>0</v>
      </c>
      <c r="J20" s="152">
        <v>0</v>
      </c>
      <c r="K20" s="152">
        <v>0</v>
      </c>
      <c r="L20" s="152">
        <v>0</v>
      </c>
      <c r="M20" s="299">
        <f>SUM(Table_Default__XLS_TAB_18_1[[#This Row],[AGE_LEVEL_LESS_20]:[AGE_LEVEL_NOT_STATED]])</f>
        <v>0</v>
      </c>
      <c r="N20" s="188" t="s">
        <v>118</v>
      </c>
    </row>
    <row r="21" spans="1:14" ht="19.5" customHeight="1" thickBot="1">
      <c r="A21" s="187" t="s">
        <v>117</v>
      </c>
      <c r="B21" s="152">
        <v>0</v>
      </c>
      <c r="C21" s="152">
        <v>0</v>
      </c>
      <c r="D21" s="152">
        <v>0</v>
      </c>
      <c r="E21" s="152">
        <v>0</v>
      </c>
      <c r="F21" s="152">
        <v>0</v>
      </c>
      <c r="G21" s="152">
        <v>0</v>
      </c>
      <c r="H21" s="152">
        <v>0</v>
      </c>
      <c r="I21" s="152">
        <v>0</v>
      </c>
      <c r="J21" s="152">
        <v>0</v>
      </c>
      <c r="K21" s="152">
        <v>0</v>
      </c>
      <c r="L21" s="152">
        <v>0</v>
      </c>
      <c r="M21" s="299">
        <f>SUM(Table_Default__XLS_TAB_18_1[[#This Row],[AGE_LEVEL_LESS_20]:[AGE_LEVEL_NOT_STATED]])</f>
        <v>0</v>
      </c>
      <c r="N21" s="188" t="s">
        <v>117</v>
      </c>
    </row>
    <row r="22" spans="1:14" ht="19.5" customHeight="1">
      <c r="A22" s="189" t="s">
        <v>15</v>
      </c>
      <c r="B22" s="153">
        <v>0</v>
      </c>
      <c r="C22" s="153">
        <v>0</v>
      </c>
      <c r="D22" s="153">
        <v>0</v>
      </c>
      <c r="E22" s="153">
        <v>0</v>
      </c>
      <c r="F22" s="153">
        <v>0</v>
      </c>
      <c r="G22" s="153">
        <v>0</v>
      </c>
      <c r="H22" s="153">
        <v>0</v>
      </c>
      <c r="I22" s="153">
        <v>0</v>
      </c>
      <c r="J22" s="153">
        <v>0</v>
      </c>
      <c r="K22" s="153">
        <v>0</v>
      </c>
      <c r="L22" s="153">
        <v>0</v>
      </c>
      <c r="M22" s="427">
        <f>SUM(Table_Default__XLS_TAB_18_1[[#This Row],[AGE_LEVEL_LESS_20]:[AGE_LEVEL_NOT_STATED]])</f>
        <v>0</v>
      </c>
      <c r="N22" s="190" t="s">
        <v>16</v>
      </c>
    </row>
    <row r="23" spans="1:14" ht="19.5" customHeight="1">
      <c r="A23" s="921" t="s">
        <v>17</v>
      </c>
      <c r="B23" s="922">
        <f>SUBTOTAL(109,Table_Default__XLS_TAB_18_1[AGE_LEVEL_LESS_20])</f>
        <v>120</v>
      </c>
      <c r="C23" s="922">
        <f>SUBTOTAL(109,Table_Default__XLS_TAB_18_1[AGE_LEVEL_20_24])</f>
        <v>254</v>
      </c>
      <c r="D23" s="922">
        <f>SUBTOTAL(109,Table_Default__XLS_TAB_18_1[AGE_LEVEL_25_29])</f>
        <v>83</v>
      </c>
      <c r="E23" s="922">
        <f>SUBTOTAL(109,Table_Default__XLS_TAB_18_1[AGE_LEVEL_30_34])</f>
        <v>16</v>
      </c>
      <c r="F23" s="922">
        <f>SUBTOTAL(109,Table_Default__XLS_TAB_18_1[AGE_LEVEL_35_39])</f>
        <v>8</v>
      </c>
      <c r="G23" s="922">
        <f>SUBTOTAL(109,Table_Default__XLS_TAB_18_1[AGE_LEVEL_40_44])</f>
        <v>7</v>
      </c>
      <c r="H23" s="922">
        <f>SUBTOTAL(109,Table_Default__XLS_TAB_18_1[AGE_LEVEL_45_49])</f>
        <v>1</v>
      </c>
      <c r="I23" s="922">
        <f>SUBTOTAL(109,Table_Default__XLS_TAB_18_1[AGE_LEVEL_50_54])</f>
        <v>0</v>
      </c>
      <c r="J23" s="922">
        <f>SUBTOTAL(109,Table_Default__XLS_TAB_18_1[AGE_LEVEL_55_59])</f>
        <v>1</v>
      </c>
      <c r="K23" s="922">
        <f>SUBTOTAL(109,Table_Default__XLS_TAB_18_1[AGE_LEVEL_UP_60])</f>
        <v>0</v>
      </c>
      <c r="L23" s="922">
        <f>SUBTOTAL(109,Table_Default__XLS_TAB_18_1[AGE_LEVEL_NOT_STATED])</f>
        <v>0</v>
      </c>
      <c r="M23" s="922">
        <f>SUBTOTAL(109,Table_Default__XLS_TAB_18_1[TOTAL])</f>
        <v>490</v>
      </c>
      <c r="N23" s="924" t="s">
        <v>56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printOptions horizontalCentered="1" verticalCentered="1"/>
  <pageMargins left="0" right="0" top="0.19685039370078741" bottom="0" header="0" footer="0"/>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R24"/>
  <sheetViews>
    <sheetView rightToLeft="1" view="pageBreakPreview" topLeftCell="A5" zoomScaleNormal="100" zoomScaleSheetLayoutView="100" workbookViewId="0">
      <selection activeCell="B25" sqref="B25"/>
    </sheetView>
  </sheetViews>
  <sheetFormatPr defaultColWidth="9.140625" defaultRowHeight="12.75"/>
  <cols>
    <col min="1" max="1" width="19.42578125" style="1" customWidth="1"/>
    <col min="2" max="11" width="8.42578125" style="1" customWidth="1"/>
    <col min="12" max="12" width="10.42578125" style="1" customWidth="1"/>
    <col min="13" max="13" width="8.42578125" style="1" customWidth="1"/>
    <col min="14" max="14" width="20.42578125" style="1" customWidth="1"/>
    <col min="15" max="16384" width="9.140625" style="1"/>
  </cols>
  <sheetData>
    <row r="1" spans="1:18" s="2" customFormat="1" ht="21.75" customHeight="1">
      <c r="A1" s="1009" t="s">
        <v>268</v>
      </c>
      <c r="B1" s="1009"/>
      <c r="C1" s="1009"/>
      <c r="D1" s="1009"/>
      <c r="E1" s="1009"/>
      <c r="F1" s="1009"/>
      <c r="G1" s="1009"/>
      <c r="H1" s="1009"/>
      <c r="I1" s="1009"/>
      <c r="J1" s="1009"/>
      <c r="K1" s="1009"/>
      <c r="L1" s="1009"/>
      <c r="M1" s="1009"/>
      <c r="N1" s="1009"/>
    </row>
    <row r="2" spans="1:18" s="2" customFormat="1" ht="32.25" customHeight="1">
      <c r="A2" s="1036" t="s">
        <v>267</v>
      </c>
      <c r="B2" s="1036"/>
      <c r="C2" s="1036"/>
      <c r="D2" s="1036"/>
      <c r="E2" s="1036"/>
      <c r="F2" s="1036"/>
      <c r="G2" s="1036"/>
      <c r="H2" s="1036"/>
      <c r="I2" s="1036"/>
      <c r="J2" s="1036"/>
      <c r="K2" s="1036"/>
      <c r="L2" s="1036"/>
      <c r="M2" s="1036"/>
      <c r="N2" s="1036"/>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t="s">
        <v>271</v>
      </c>
      <c r="B4" s="1037"/>
      <c r="C4" s="1037"/>
      <c r="D4" s="1037"/>
      <c r="E4" s="1037"/>
      <c r="F4" s="1037"/>
      <c r="G4" s="1037"/>
      <c r="H4" s="1037"/>
      <c r="I4" s="1037"/>
      <c r="J4" s="1037"/>
      <c r="K4" s="1037"/>
      <c r="L4" s="1037"/>
      <c r="M4" s="1037"/>
      <c r="N4" s="1037"/>
    </row>
    <row r="5" spans="1:18" s="2" customFormat="1" ht="15.75">
      <c r="A5" s="361"/>
      <c r="B5" s="361"/>
      <c r="C5" s="361"/>
      <c r="D5" s="361"/>
      <c r="E5" s="361"/>
      <c r="F5" s="361"/>
      <c r="G5" s="361"/>
      <c r="H5" s="361"/>
      <c r="I5" s="361"/>
      <c r="J5" s="361"/>
      <c r="K5" s="361"/>
      <c r="L5" s="361"/>
      <c r="M5" s="361"/>
      <c r="N5" s="361"/>
    </row>
    <row r="6" spans="1:18" ht="15.75">
      <c r="A6" s="373" t="s">
        <v>403</v>
      </c>
      <c r="B6" s="377"/>
      <c r="C6" s="377"/>
      <c r="D6" s="377"/>
      <c r="E6" s="377"/>
      <c r="F6" s="377"/>
      <c r="G6" s="377"/>
      <c r="H6" s="377"/>
      <c r="I6" s="377"/>
      <c r="J6" s="377"/>
      <c r="K6" s="377"/>
      <c r="L6" s="377"/>
      <c r="M6" s="377"/>
      <c r="N6" s="375" t="s">
        <v>404</v>
      </c>
    </row>
    <row r="7" spans="1:18" ht="26.25" customHeight="1" thickBot="1">
      <c r="A7" s="1099" t="s">
        <v>143</v>
      </c>
      <c r="B7" s="1087" t="s">
        <v>136</v>
      </c>
      <c r="C7" s="1087"/>
      <c r="D7" s="1087"/>
      <c r="E7" s="1087"/>
      <c r="F7" s="1087"/>
      <c r="G7" s="1087"/>
      <c r="H7" s="1087"/>
      <c r="I7" s="1087"/>
      <c r="J7" s="1087"/>
      <c r="K7" s="1087"/>
      <c r="L7" s="1087"/>
      <c r="M7" s="1087"/>
      <c r="N7" s="1101" t="s">
        <v>142</v>
      </c>
    </row>
    <row r="8" spans="1:18" ht="35.25" customHeight="1">
      <c r="A8" s="1108"/>
      <c r="B8" s="319">
        <v>-20</v>
      </c>
      <c r="C8" s="319" t="s">
        <v>128</v>
      </c>
      <c r="D8" s="319" t="s">
        <v>127</v>
      </c>
      <c r="E8" s="319" t="s">
        <v>126</v>
      </c>
      <c r="F8" s="319" t="s">
        <v>125</v>
      </c>
      <c r="G8" s="319" t="s">
        <v>124</v>
      </c>
      <c r="H8" s="319" t="s">
        <v>123</v>
      </c>
      <c r="I8" s="319" t="s">
        <v>122</v>
      </c>
      <c r="J8" s="319" t="s">
        <v>121</v>
      </c>
      <c r="K8" s="319" t="s">
        <v>133</v>
      </c>
      <c r="L8" s="509" t="s">
        <v>627</v>
      </c>
      <c r="M8" s="509" t="s">
        <v>628</v>
      </c>
      <c r="N8" s="1124"/>
    </row>
    <row r="9" spans="1:18" ht="19.5" customHeight="1" thickBot="1">
      <c r="A9" s="133" t="s">
        <v>437</v>
      </c>
      <c r="B9" s="151">
        <v>7</v>
      </c>
      <c r="C9" s="151">
        <v>4</v>
      </c>
      <c r="D9" s="151">
        <v>0</v>
      </c>
      <c r="E9" s="151">
        <v>0</v>
      </c>
      <c r="F9" s="151">
        <v>0</v>
      </c>
      <c r="G9" s="151">
        <v>0</v>
      </c>
      <c r="H9" s="151">
        <v>0</v>
      </c>
      <c r="I9" s="151">
        <v>0</v>
      </c>
      <c r="J9" s="151">
        <v>0</v>
      </c>
      <c r="K9" s="151">
        <v>0</v>
      </c>
      <c r="L9" s="151">
        <v>0</v>
      </c>
      <c r="M9" s="297">
        <f>SUM(Table_Default__XLS_TAB_18_2[[#This Row],[AGE_LEVEL_LESS_20]:[AGE_LEVEL_NOT_STATED]])</f>
        <v>11</v>
      </c>
      <c r="N9" s="103" t="s">
        <v>437</v>
      </c>
    </row>
    <row r="10" spans="1:18" ht="19.5" customHeight="1" thickBot="1">
      <c r="A10" s="187" t="s">
        <v>128</v>
      </c>
      <c r="B10" s="152">
        <v>36</v>
      </c>
      <c r="C10" s="152">
        <v>90</v>
      </c>
      <c r="D10" s="152">
        <v>6</v>
      </c>
      <c r="E10" s="152">
        <v>2</v>
      </c>
      <c r="F10" s="152">
        <v>0</v>
      </c>
      <c r="G10" s="152">
        <v>0</v>
      </c>
      <c r="H10" s="152">
        <v>0</v>
      </c>
      <c r="I10" s="152">
        <v>0</v>
      </c>
      <c r="J10" s="152">
        <v>0</v>
      </c>
      <c r="K10" s="152">
        <v>0</v>
      </c>
      <c r="L10" s="151">
        <v>0</v>
      </c>
      <c r="M10" s="297">
        <f>SUM(Table_Default__XLS_TAB_18_2[[#This Row],[AGE_LEVEL_LESS_20]:[AGE_LEVEL_NOT_STATED]])</f>
        <v>134</v>
      </c>
      <c r="N10" s="188" t="s">
        <v>128</v>
      </c>
    </row>
    <row r="11" spans="1:18" ht="19.5" customHeight="1" thickBot="1">
      <c r="A11" s="187" t="s">
        <v>127</v>
      </c>
      <c r="B11" s="152">
        <v>24</v>
      </c>
      <c r="C11" s="152">
        <v>73</v>
      </c>
      <c r="D11" s="152">
        <v>44</v>
      </c>
      <c r="E11" s="152">
        <v>5</v>
      </c>
      <c r="F11" s="152">
        <v>2</v>
      </c>
      <c r="G11" s="152">
        <v>0</v>
      </c>
      <c r="H11" s="152">
        <v>0</v>
      </c>
      <c r="I11" s="152">
        <v>0</v>
      </c>
      <c r="J11" s="152">
        <v>0</v>
      </c>
      <c r="K11" s="152">
        <v>0</v>
      </c>
      <c r="L11" s="151">
        <v>0</v>
      </c>
      <c r="M11" s="297">
        <f>SUM(Table_Default__XLS_TAB_18_2[[#This Row],[AGE_LEVEL_LESS_20]:[AGE_LEVEL_NOT_STATED]])</f>
        <v>148</v>
      </c>
      <c r="N11" s="188" t="s">
        <v>127</v>
      </c>
    </row>
    <row r="12" spans="1:18" ht="19.5" customHeight="1" thickBot="1">
      <c r="A12" s="187" t="s">
        <v>126</v>
      </c>
      <c r="B12" s="152">
        <v>2</v>
      </c>
      <c r="C12" s="152">
        <v>17</v>
      </c>
      <c r="D12" s="152">
        <v>24</v>
      </c>
      <c r="E12" s="152">
        <v>16</v>
      </c>
      <c r="F12" s="152">
        <v>1</v>
      </c>
      <c r="G12" s="152">
        <v>1</v>
      </c>
      <c r="H12" s="152">
        <v>0</v>
      </c>
      <c r="I12" s="152">
        <v>0</v>
      </c>
      <c r="J12" s="152">
        <v>0</v>
      </c>
      <c r="K12" s="152">
        <v>0</v>
      </c>
      <c r="L12" s="151">
        <v>0</v>
      </c>
      <c r="M12" s="297">
        <f>SUM(Table_Default__XLS_TAB_18_2[[#This Row],[AGE_LEVEL_LESS_20]:[AGE_LEVEL_NOT_STATED]])</f>
        <v>61</v>
      </c>
      <c r="N12" s="188" t="s">
        <v>126</v>
      </c>
    </row>
    <row r="13" spans="1:18" ht="19.5" customHeight="1" thickBot="1">
      <c r="A13" s="187" t="s">
        <v>125</v>
      </c>
      <c r="B13" s="152">
        <v>0</v>
      </c>
      <c r="C13" s="152">
        <v>3</v>
      </c>
      <c r="D13" s="152">
        <v>6</v>
      </c>
      <c r="E13" s="152">
        <v>6</v>
      </c>
      <c r="F13" s="152">
        <v>3</v>
      </c>
      <c r="G13" s="152">
        <v>2</v>
      </c>
      <c r="H13" s="152">
        <v>0</v>
      </c>
      <c r="I13" s="152">
        <v>0</v>
      </c>
      <c r="J13" s="152">
        <v>0</v>
      </c>
      <c r="K13" s="152">
        <v>0</v>
      </c>
      <c r="L13" s="151">
        <v>0</v>
      </c>
      <c r="M13" s="297">
        <f>SUM(Table_Default__XLS_TAB_18_2[[#This Row],[AGE_LEVEL_LESS_20]:[AGE_LEVEL_NOT_STATED]])</f>
        <v>20</v>
      </c>
      <c r="N13" s="188" t="s">
        <v>125</v>
      </c>
    </row>
    <row r="14" spans="1:18" ht="19.5" customHeight="1" thickBot="1">
      <c r="A14" s="187" t="s">
        <v>124</v>
      </c>
      <c r="B14" s="152">
        <v>1</v>
      </c>
      <c r="C14" s="152">
        <v>0</v>
      </c>
      <c r="D14" s="152">
        <v>0</v>
      </c>
      <c r="E14" s="152">
        <v>3</v>
      </c>
      <c r="F14" s="152">
        <v>2</v>
      </c>
      <c r="G14" s="152">
        <v>1</v>
      </c>
      <c r="H14" s="152">
        <v>0</v>
      </c>
      <c r="I14" s="152">
        <v>0</v>
      </c>
      <c r="J14" s="152">
        <v>0</v>
      </c>
      <c r="K14" s="152">
        <v>0</v>
      </c>
      <c r="L14" s="151">
        <v>0</v>
      </c>
      <c r="M14" s="297">
        <f>SUM(Table_Default__XLS_TAB_18_2[[#This Row],[AGE_LEVEL_LESS_20]:[AGE_LEVEL_NOT_STATED]])</f>
        <v>7</v>
      </c>
      <c r="N14" s="188" t="s">
        <v>124</v>
      </c>
    </row>
    <row r="15" spans="1:18" ht="19.5" customHeight="1" thickBot="1">
      <c r="A15" s="187" t="s">
        <v>123</v>
      </c>
      <c r="B15" s="152">
        <v>0</v>
      </c>
      <c r="C15" s="152">
        <v>0</v>
      </c>
      <c r="D15" s="152">
        <v>0</v>
      </c>
      <c r="E15" s="152">
        <v>2</v>
      </c>
      <c r="F15" s="152">
        <v>1</v>
      </c>
      <c r="G15" s="152">
        <v>1</v>
      </c>
      <c r="H15" s="152">
        <v>0</v>
      </c>
      <c r="I15" s="152">
        <v>0</v>
      </c>
      <c r="J15" s="152">
        <v>0</v>
      </c>
      <c r="K15" s="152">
        <v>0</v>
      </c>
      <c r="L15" s="151">
        <v>0</v>
      </c>
      <c r="M15" s="297">
        <f>SUM(Table_Default__XLS_TAB_18_2[[#This Row],[AGE_LEVEL_LESS_20]:[AGE_LEVEL_NOT_STATED]])</f>
        <v>4</v>
      </c>
      <c r="N15" s="188" t="s">
        <v>123</v>
      </c>
    </row>
    <row r="16" spans="1:18" ht="19.5" customHeight="1" thickBot="1">
      <c r="A16" s="187" t="s">
        <v>122</v>
      </c>
      <c r="B16" s="152">
        <v>0</v>
      </c>
      <c r="C16" s="152">
        <v>0</v>
      </c>
      <c r="D16" s="152">
        <v>0</v>
      </c>
      <c r="E16" s="152">
        <v>1</v>
      </c>
      <c r="F16" s="152">
        <v>1</v>
      </c>
      <c r="G16" s="152">
        <v>2</v>
      </c>
      <c r="H16" s="152">
        <v>1</v>
      </c>
      <c r="I16" s="152">
        <v>0</v>
      </c>
      <c r="J16" s="152">
        <v>0</v>
      </c>
      <c r="K16" s="152">
        <v>0</v>
      </c>
      <c r="L16" s="151">
        <v>0</v>
      </c>
      <c r="M16" s="297">
        <f>SUM(Table_Default__XLS_TAB_18_2[[#This Row],[AGE_LEVEL_LESS_20]:[AGE_LEVEL_NOT_STATED]])</f>
        <v>5</v>
      </c>
      <c r="N16" s="188" t="s">
        <v>122</v>
      </c>
    </row>
    <row r="17" spans="1:14" ht="19.5" customHeight="1" thickBot="1">
      <c r="A17" s="187" t="s">
        <v>121</v>
      </c>
      <c r="B17" s="152">
        <v>0</v>
      </c>
      <c r="C17" s="152">
        <v>0</v>
      </c>
      <c r="D17" s="152">
        <v>0</v>
      </c>
      <c r="E17" s="152">
        <v>1</v>
      </c>
      <c r="F17" s="152">
        <v>0</v>
      </c>
      <c r="G17" s="152">
        <v>0</v>
      </c>
      <c r="H17" s="152">
        <v>0</v>
      </c>
      <c r="I17" s="152">
        <v>0</v>
      </c>
      <c r="J17" s="152">
        <v>1</v>
      </c>
      <c r="K17" s="152">
        <v>0</v>
      </c>
      <c r="L17" s="151">
        <v>0</v>
      </c>
      <c r="M17" s="297">
        <f>SUM(Table_Default__XLS_TAB_18_2[[#This Row],[AGE_LEVEL_LESS_20]:[AGE_LEVEL_NOT_STATED]])</f>
        <v>2</v>
      </c>
      <c r="N17" s="188" t="s">
        <v>121</v>
      </c>
    </row>
    <row r="18" spans="1:14" ht="19.5" customHeight="1" thickBot="1">
      <c r="A18" s="187" t="s">
        <v>120</v>
      </c>
      <c r="B18" s="152">
        <v>0</v>
      </c>
      <c r="C18" s="152">
        <v>0</v>
      </c>
      <c r="D18" s="152">
        <v>0</v>
      </c>
      <c r="E18" s="152">
        <v>0</v>
      </c>
      <c r="F18" s="152">
        <v>0</v>
      </c>
      <c r="G18" s="152">
        <v>0</v>
      </c>
      <c r="H18" s="152">
        <v>0</v>
      </c>
      <c r="I18" s="152">
        <v>0</v>
      </c>
      <c r="J18" s="152">
        <v>1</v>
      </c>
      <c r="K18" s="152">
        <v>0</v>
      </c>
      <c r="L18" s="151">
        <v>0</v>
      </c>
      <c r="M18" s="297">
        <f>SUM(Table_Default__XLS_TAB_18_2[[#This Row],[AGE_LEVEL_LESS_20]:[AGE_LEVEL_NOT_STATED]])</f>
        <v>1</v>
      </c>
      <c r="N18" s="188" t="s">
        <v>120</v>
      </c>
    </row>
    <row r="19" spans="1:14" ht="19.5" customHeight="1" thickBot="1">
      <c r="A19" s="187" t="s">
        <v>119</v>
      </c>
      <c r="B19" s="152">
        <v>0</v>
      </c>
      <c r="C19" s="152">
        <v>0</v>
      </c>
      <c r="D19" s="152">
        <v>0</v>
      </c>
      <c r="E19" s="152">
        <v>0</v>
      </c>
      <c r="F19" s="152">
        <v>0</v>
      </c>
      <c r="G19" s="152">
        <v>0</v>
      </c>
      <c r="H19" s="152">
        <v>0</v>
      </c>
      <c r="I19" s="152">
        <v>1</v>
      </c>
      <c r="J19" s="152">
        <v>0</v>
      </c>
      <c r="K19" s="152">
        <v>0</v>
      </c>
      <c r="L19" s="151">
        <v>0</v>
      </c>
      <c r="M19" s="297">
        <f>SUM(Table_Default__XLS_TAB_18_2[[#This Row],[AGE_LEVEL_LESS_20]:[AGE_LEVEL_NOT_STATED]])</f>
        <v>1</v>
      </c>
      <c r="N19" s="188" t="s">
        <v>119</v>
      </c>
    </row>
    <row r="20" spans="1:14" ht="19.5" customHeight="1" thickBot="1">
      <c r="A20" s="187" t="s">
        <v>118</v>
      </c>
      <c r="B20" s="152">
        <v>0</v>
      </c>
      <c r="C20" s="152">
        <v>0</v>
      </c>
      <c r="D20" s="152">
        <v>0</v>
      </c>
      <c r="E20" s="152">
        <v>0</v>
      </c>
      <c r="F20" s="152">
        <v>0</v>
      </c>
      <c r="G20" s="152">
        <v>0</v>
      </c>
      <c r="H20" s="152">
        <v>0</v>
      </c>
      <c r="I20" s="152">
        <v>1</v>
      </c>
      <c r="J20" s="152">
        <v>0</v>
      </c>
      <c r="K20" s="152">
        <v>0</v>
      </c>
      <c r="L20" s="151">
        <v>0</v>
      </c>
      <c r="M20" s="297">
        <f>SUM(Table_Default__XLS_TAB_18_2[[#This Row],[AGE_LEVEL_LESS_20]:[AGE_LEVEL_NOT_STATED]])</f>
        <v>1</v>
      </c>
      <c r="N20" s="188" t="s">
        <v>118</v>
      </c>
    </row>
    <row r="21" spans="1:14" ht="19.5" customHeight="1" thickBot="1">
      <c r="A21" s="187" t="s">
        <v>117</v>
      </c>
      <c r="B21" s="152">
        <v>0</v>
      </c>
      <c r="C21" s="152">
        <v>0</v>
      </c>
      <c r="D21" s="152">
        <v>0</v>
      </c>
      <c r="E21" s="152">
        <v>0</v>
      </c>
      <c r="F21" s="152">
        <v>0</v>
      </c>
      <c r="G21" s="152">
        <v>0</v>
      </c>
      <c r="H21" s="152">
        <v>1</v>
      </c>
      <c r="I21" s="152">
        <v>0</v>
      </c>
      <c r="J21" s="152">
        <v>0</v>
      </c>
      <c r="K21" s="152">
        <v>0</v>
      </c>
      <c r="L21" s="151">
        <v>0</v>
      </c>
      <c r="M21" s="297">
        <f>SUM(Table_Default__XLS_TAB_18_2[[#This Row],[AGE_LEVEL_LESS_20]:[AGE_LEVEL_NOT_STATED]])</f>
        <v>1</v>
      </c>
      <c r="N21" s="188" t="s">
        <v>117</v>
      </c>
    </row>
    <row r="22" spans="1:14" ht="19.5" customHeight="1">
      <c r="A22" s="189" t="s">
        <v>15</v>
      </c>
      <c r="B22" s="153">
        <v>0</v>
      </c>
      <c r="C22" s="153">
        <v>0</v>
      </c>
      <c r="D22" s="153">
        <v>0</v>
      </c>
      <c r="E22" s="153">
        <v>0</v>
      </c>
      <c r="F22" s="153">
        <v>0</v>
      </c>
      <c r="G22" s="153">
        <v>0</v>
      </c>
      <c r="H22" s="153">
        <v>0</v>
      </c>
      <c r="I22" s="153">
        <v>0</v>
      </c>
      <c r="J22" s="153">
        <v>0</v>
      </c>
      <c r="K22" s="153">
        <v>0</v>
      </c>
      <c r="L22" s="186">
        <v>0</v>
      </c>
      <c r="M22" s="426">
        <f>SUM(Table_Default__XLS_TAB_18_2[[#This Row],[AGE_LEVEL_LESS_20]:[AGE_LEVEL_NOT_STATED]])</f>
        <v>0</v>
      </c>
      <c r="N22" s="190" t="s">
        <v>16</v>
      </c>
    </row>
    <row r="23" spans="1:14" ht="19.5" customHeight="1">
      <c r="A23" s="925" t="s">
        <v>17</v>
      </c>
      <c r="B23" s="926">
        <f>SUBTOTAL(109,Table_Default__XLS_TAB_18_2[AGE_LEVEL_LESS_20])</f>
        <v>70</v>
      </c>
      <c r="C23" s="926">
        <f>SUBTOTAL(109,Table_Default__XLS_TAB_18_2[AGE_LEVEL_20_24])</f>
        <v>187</v>
      </c>
      <c r="D23" s="926">
        <f>SUBTOTAL(109,Table_Default__XLS_TAB_18_2[AGE_LEVEL_25_29])</f>
        <v>80</v>
      </c>
      <c r="E23" s="926">
        <f>SUBTOTAL(109,Table_Default__XLS_TAB_18_2[AGE_LEVEL_30_34])</f>
        <v>36</v>
      </c>
      <c r="F23" s="926">
        <f>SUBTOTAL(109,Table_Default__XLS_TAB_18_2[AGE_LEVEL_35_39])</f>
        <v>10</v>
      </c>
      <c r="G23" s="926">
        <f>SUBTOTAL(109,Table_Default__XLS_TAB_18_2[AGE_LEVEL_40_44])</f>
        <v>7</v>
      </c>
      <c r="H23" s="926">
        <f>SUBTOTAL(109,Table_Default__XLS_TAB_18_2[AGE_LEVEL_45_49])</f>
        <v>2</v>
      </c>
      <c r="I23" s="926">
        <f>SUBTOTAL(109,Table_Default__XLS_TAB_18_2[AGE_LEVEL_50_54])</f>
        <v>2</v>
      </c>
      <c r="J23" s="926">
        <f>SUBTOTAL(109,Table_Default__XLS_TAB_18_2[AGE_LEVEL_55_59])</f>
        <v>2</v>
      </c>
      <c r="K23" s="926">
        <f>SUBTOTAL(109,Table_Default__XLS_TAB_18_2[AGE_LEVEL_UP_60])</f>
        <v>0</v>
      </c>
      <c r="L23" s="926">
        <f>SUBTOTAL(109,Table_Default__XLS_TAB_18_2[AGE_LEVEL_NOT_STATED])</f>
        <v>0</v>
      </c>
      <c r="M23" s="926">
        <f>SUBTOTAL(109,Table_Default__XLS_TAB_18_2[TOTAL])</f>
        <v>396</v>
      </c>
      <c r="N23" s="927" t="s">
        <v>56</v>
      </c>
    </row>
    <row r="24" spans="1:14">
      <c r="A24" s="2"/>
      <c r="B24" s="2"/>
      <c r="C24" s="2"/>
      <c r="D24" s="2"/>
      <c r="E24" s="2"/>
      <c r="F24" s="2"/>
      <c r="G24" s="2"/>
      <c r="H24" s="2"/>
      <c r="I24" s="2"/>
      <c r="J24" s="2"/>
      <c r="K24" s="2"/>
      <c r="L24" s="2"/>
      <c r="M24" s="2"/>
      <c r="N24" s="2"/>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24"/>
  <sheetViews>
    <sheetView rightToLeft="1" view="pageBreakPreview" topLeftCell="A5" zoomScaleNormal="100" zoomScaleSheetLayoutView="100" workbookViewId="0">
      <selection activeCell="B24" sqref="B24"/>
    </sheetView>
  </sheetViews>
  <sheetFormatPr defaultColWidth="9.140625" defaultRowHeight="12.75"/>
  <cols>
    <col min="1" max="1" width="19.42578125" style="1" customWidth="1"/>
    <col min="2" max="11" width="8.42578125" style="1" customWidth="1"/>
    <col min="12" max="12" width="10.42578125" style="1" customWidth="1"/>
    <col min="13" max="13" width="8.42578125" style="1" customWidth="1"/>
    <col min="14" max="14" width="20.42578125" style="1" customWidth="1"/>
    <col min="15" max="16384" width="9.140625" style="1"/>
  </cols>
  <sheetData>
    <row r="1" spans="1:18" s="2" customFormat="1" ht="21.75" customHeight="1">
      <c r="A1" s="1009" t="s">
        <v>268</v>
      </c>
      <c r="B1" s="1009"/>
      <c r="C1" s="1009"/>
      <c r="D1" s="1009"/>
      <c r="E1" s="1009"/>
      <c r="F1" s="1009"/>
      <c r="G1" s="1009"/>
      <c r="H1" s="1009"/>
      <c r="I1" s="1009"/>
      <c r="J1" s="1009"/>
      <c r="K1" s="1009"/>
      <c r="L1" s="1009"/>
      <c r="M1" s="1009"/>
      <c r="N1" s="1009"/>
    </row>
    <row r="2" spans="1:18" s="2" customFormat="1" ht="32.25" customHeight="1">
      <c r="A2" s="1036" t="s">
        <v>267</v>
      </c>
      <c r="B2" s="1036"/>
      <c r="C2" s="1036"/>
      <c r="D2" s="1036"/>
      <c r="E2" s="1036"/>
      <c r="F2" s="1036"/>
      <c r="G2" s="1036"/>
      <c r="H2" s="1036"/>
      <c r="I2" s="1036"/>
      <c r="J2" s="1036"/>
      <c r="K2" s="1036"/>
      <c r="L2" s="1036"/>
      <c r="M2" s="1036"/>
      <c r="N2" s="1036"/>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t="s">
        <v>274</v>
      </c>
      <c r="B4" s="1037"/>
      <c r="C4" s="1037"/>
      <c r="D4" s="1037"/>
      <c r="E4" s="1037"/>
      <c r="F4" s="1037"/>
      <c r="G4" s="1037"/>
      <c r="H4" s="1037"/>
      <c r="I4" s="1037"/>
      <c r="J4" s="1037"/>
      <c r="K4" s="1037"/>
      <c r="L4" s="1037"/>
      <c r="M4" s="1037"/>
      <c r="N4" s="1037"/>
    </row>
    <row r="5" spans="1:18" s="2" customFormat="1" ht="15.75">
      <c r="A5" s="361"/>
      <c r="B5" s="361"/>
      <c r="C5" s="361"/>
      <c r="D5" s="361"/>
      <c r="E5" s="361"/>
      <c r="F5" s="361"/>
      <c r="G5" s="361"/>
      <c r="H5" s="361"/>
      <c r="I5" s="361"/>
      <c r="J5" s="361"/>
      <c r="K5" s="361"/>
      <c r="L5" s="361"/>
      <c r="M5" s="361"/>
      <c r="N5" s="361"/>
    </row>
    <row r="6" spans="1:18" ht="15.75">
      <c r="A6" s="373" t="s">
        <v>401</v>
      </c>
      <c r="B6" s="377"/>
      <c r="C6" s="377"/>
      <c r="D6" s="377"/>
      <c r="E6" s="377"/>
      <c r="F6" s="377"/>
      <c r="G6" s="377"/>
      <c r="H6" s="377"/>
      <c r="I6" s="377"/>
      <c r="J6" s="377"/>
      <c r="K6" s="377"/>
      <c r="L6" s="377"/>
      <c r="M6" s="377"/>
      <c r="N6" s="375" t="s">
        <v>402</v>
      </c>
    </row>
    <row r="7" spans="1:18" ht="26.25" customHeight="1" thickBot="1">
      <c r="A7" s="1099" t="s">
        <v>143</v>
      </c>
      <c r="B7" s="1087" t="s">
        <v>136</v>
      </c>
      <c r="C7" s="1087"/>
      <c r="D7" s="1087"/>
      <c r="E7" s="1087"/>
      <c r="F7" s="1087"/>
      <c r="G7" s="1087"/>
      <c r="H7" s="1087"/>
      <c r="I7" s="1087"/>
      <c r="J7" s="1087"/>
      <c r="K7" s="1087"/>
      <c r="L7" s="1087"/>
      <c r="M7" s="1087"/>
      <c r="N7" s="1101" t="s">
        <v>142</v>
      </c>
    </row>
    <row r="8" spans="1:18" ht="35.25" customHeight="1">
      <c r="A8" s="1108"/>
      <c r="B8" s="319">
        <v>-20</v>
      </c>
      <c r="C8" s="319" t="s">
        <v>128</v>
      </c>
      <c r="D8" s="319" t="s">
        <v>127</v>
      </c>
      <c r="E8" s="319" t="s">
        <v>126</v>
      </c>
      <c r="F8" s="319" t="s">
        <v>125</v>
      </c>
      <c r="G8" s="319" t="s">
        <v>124</v>
      </c>
      <c r="H8" s="319" t="s">
        <v>123</v>
      </c>
      <c r="I8" s="319" t="s">
        <v>122</v>
      </c>
      <c r="J8" s="319" t="s">
        <v>121</v>
      </c>
      <c r="K8" s="319" t="s">
        <v>133</v>
      </c>
      <c r="L8" s="509" t="s">
        <v>627</v>
      </c>
      <c r="M8" s="509" t="s">
        <v>628</v>
      </c>
      <c r="N8" s="1124"/>
    </row>
    <row r="9" spans="1:18" ht="19.5" customHeight="1" thickBot="1">
      <c r="A9" s="133" t="s">
        <v>437</v>
      </c>
      <c r="B9" s="151">
        <v>4</v>
      </c>
      <c r="C9" s="151">
        <v>1</v>
      </c>
      <c r="D9" s="151">
        <v>0</v>
      </c>
      <c r="E9" s="151">
        <v>0</v>
      </c>
      <c r="F9" s="151">
        <v>0</v>
      </c>
      <c r="G9" s="151">
        <v>0</v>
      </c>
      <c r="H9" s="151">
        <v>0</v>
      </c>
      <c r="I9" s="151">
        <v>0</v>
      </c>
      <c r="J9" s="151">
        <v>0</v>
      </c>
      <c r="K9" s="151">
        <v>0</v>
      </c>
      <c r="L9" s="151">
        <v>0</v>
      </c>
      <c r="M9" s="300">
        <f>SUM(Table_Default__XLS_TAB_18_3[[#This Row],[AGE_LEVEL_LESS_20]:[AGE_LEVEL_NOT_STATED]])</f>
        <v>5</v>
      </c>
      <c r="N9" s="103" t="s">
        <v>437</v>
      </c>
    </row>
    <row r="10" spans="1:18" ht="19.5" customHeight="1" thickBot="1">
      <c r="A10" s="187" t="s">
        <v>128</v>
      </c>
      <c r="B10" s="152">
        <v>33</v>
      </c>
      <c r="C10" s="152">
        <v>161</v>
      </c>
      <c r="D10" s="152">
        <v>27</v>
      </c>
      <c r="E10" s="152">
        <v>1</v>
      </c>
      <c r="F10" s="152">
        <v>2</v>
      </c>
      <c r="G10" s="152">
        <v>0</v>
      </c>
      <c r="H10" s="152">
        <v>0</v>
      </c>
      <c r="I10" s="152">
        <v>0</v>
      </c>
      <c r="J10" s="152">
        <v>0</v>
      </c>
      <c r="K10" s="152">
        <v>0</v>
      </c>
      <c r="L10" s="151">
        <v>0</v>
      </c>
      <c r="M10" s="300">
        <f>SUM(Table_Default__XLS_TAB_18_3[[#This Row],[AGE_LEVEL_LESS_20]:[AGE_LEVEL_NOT_STATED]])</f>
        <v>224</v>
      </c>
      <c r="N10" s="188" t="s">
        <v>128</v>
      </c>
    </row>
    <row r="11" spans="1:18" ht="19.5" customHeight="1" thickBot="1">
      <c r="A11" s="187" t="s">
        <v>127</v>
      </c>
      <c r="B11" s="152">
        <v>27</v>
      </c>
      <c r="C11" s="152">
        <v>228</v>
      </c>
      <c r="D11" s="152">
        <v>191</v>
      </c>
      <c r="E11" s="152">
        <v>17</v>
      </c>
      <c r="F11" s="152">
        <v>4</v>
      </c>
      <c r="G11" s="152">
        <v>2</v>
      </c>
      <c r="H11" s="152">
        <v>0</v>
      </c>
      <c r="I11" s="152">
        <v>0</v>
      </c>
      <c r="J11" s="152">
        <v>0</v>
      </c>
      <c r="K11" s="152">
        <v>0</v>
      </c>
      <c r="L11" s="151">
        <v>0</v>
      </c>
      <c r="M11" s="300">
        <f>SUM(Table_Default__XLS_TAB_18_3[[#This Row],[AGE_LEVEL_LESS_20]:[AGE_LEVEL_NOT_STATED]])</f>
        <v>469</v>
      </c>
      <c r="N11" s="188" t="s">
        <v>127</v>
      </c>
    </row>
    <row r="12" spans="1:18" ht="19.5" customHeight="1" thickBot="1">
      <c r="A12" s="187" t="s">
        <v>126</v>
      </c>
      <c r="B12" s="152">
        <v>6</v>
      </c>
      <c r="C12" s="152">
        <v>50</v>
      </c>
      <c r="D12" s="152">
        <v>100</v>
      </c>
      <c r="E12" s="152">
        <v>48</v>
      </c>
      <c r="F12" s="152">
        <v>11</v>
      </c>
      <c r="G12" s="152">
        <v>9</v>
      </c>
      <c r="H12" s="152">
        <v>2</v>
      </c>
      <c r="I12" s="152">
        <v>0</v>
      </c>
      <c r="J12" s="152">
        <v>0</v>
      </c>
      <c r="K12" s="152">
        <v>0</v>
      </c>
      <c r="L12" s="151">
        <v>0</v>
      </c>
      <c r="M12" s="300">
        <f>SUM(Table_Default__XLS_TAB_18_3[[#This Row],[AGE_LEVEL_LESS_20]:[AGE_LEVEL_NOT_STATED]])</f>
        <v>226</v>
      </c>
      <c r="N12" s="188" t="s">
        <v>126</v>
      </c>
    </row>
    <row r="13" spans="1:18" ht="19.5" customHeight="1" thickBot="1">
      <c r="A13" s="187" t="s">
        <v>125</v>
      </c>
      <c r="B13" s="152">
        <v>0</v>
      </c>
      <c r="C13" s="152">
        <v>6</v>
      </c>
      <c r="D13" s="152">
        <v>15</v>
      </c>
      <c r="E13" s="152">
        <v>35</v>
      </c>
      <c r="F13" s="152">
        <v>23</v>
      </c>
      <c r="G13" s="152">
        <v>6</v>
      </c>
      <c r="H13" s="152">
        <v>1</v>
      </c>
      <c r="I13" s="152">
        <v>0</v>
      </c>
      <c r="J13" s="152">
        <v>0</v>
      </c>
      <c r="K13" s="152">
        <v>0</v>
      </c>
      <c r="L13" s="151">
        <v>0</v>
      </c>
      <c r="M13" s="300">
        <f>SUM(Table_Default__XLS_TAB_18_3[[#This Row],[AGE_LEVEL_LESS_20]:[AGE_LEVEL_NOT_STATED]])</f>
        <v>86</v>
      </c>
      <c r="N13" s="188" t="s">
        <v>125</v>
      </c>
    </row>
    <row r="14" spans="1:18" ht="19.5" customHeight="1" thickBot="1">
      <c r="A14" s="187" t="s">
        <v>124</v>
      </c>
      <c r="B14" s="152">
        <v>0</v>
      </c>
      <c r="C14" s="152">
        <v>1</v>
      </c>
      <c r="D14" s="152">
        <v>8</v>
      </c>
      <c r="E14" s="152">
        <v>25</v>
      </c>
      <c r="F14" s="152">
        <v>25</v>
      </c>
      <c r="G14" s="152">
        <v>11</v>
      </c>
      <c r="H14" s="152">
        <v>2</v>
      </c>
      <c r="I14" s="152">
        <v>1</v>
      </c>
      <c r="J14" s="152">
        <v>0</v>
      </c>
      <c r="K14" s="152">
        <v>0</v>
      </c>
      <c r="L14" s="151">
        <v>0</v>
      </c>
      <c r="M14" s="300">
        <f>SUM(Table_Default__XLS_TAB_18_3[[#This Row],[AGE_LEVEL_LESS_20]:[AGE_LEVEL_NOT_STATED]])</f>
        <v>73</v>
      </c>
      <c r="N14" s="188" t="s">
        <v>124</v>
      </c>
    </row>
    <row r="15" spans="1:18" ht="19.5" customHeight="1" thickBot="1">
      <c r="A15" s="187" t="s">
        <v>123</v>
      </c>
      <c r="B15" s="152">
        <v>1</v>
      </c>
      <c r="C15" s="152">
        <v>2</v>
      </c>
      <c r="D15" s="152">
        <v>8</v>
      </c>
      <c r="E15" s="152">
        <v>8</v>
      </c>
      <c r="F15" s="152">
        <v>9</v>
      </c>
      <c r="G15" s="152">
        <v>14</v>
      </c>
      <c r="H15" s="152">
        <v>6</v>
      </c>
      <c r="I15" s="152">
        <v>3</v>
      </c>
      <c r="J15" s="152">
        <v>0</v>
      </c>
      <c r="K15" s="152">
        <v>0</v>
      </c>
      <c r="L15" s="151">
        <v>0</v>
      </c>
      <c r="M15" s="300">
        <f>SUM(Table_Default__XLS_TAB_18_3[[#This Row],[AGE_LEVEL_LESS_20]:[AGE_LEVEL_NOT_STATED]])</f>
        <v>51</v>
      </c>
      <c r="N15" s="188" t="s">
        <v>123</v>
      </c>
    </row>
    <row r="16" spans="1:18" ht="19.5" customHeight="1" thickBot="1">
      <c r="A16" s="187" t="s">
        <v>122</v>
      </c>
      <c r="B16" s="152">
        <v>0</v>
      </c>
      <c r="C16" s="152">
        <v>2</v>
      </c>
      <c r="D16" s="152">
        <v>2</v>
      </c>
      <c r="E16" s="152">
        <v>10</v>
      </c>
      <c r="F16" s="152">
        <v>4</v>
      </c>
      <c r="G16" s="152">
        <v>3</v>
      </c>
      <c r="H16" s="152">
        <v>7</v>
      </c>
      <c r="I16" s="152">
        <v>1</v>
      </c>
      <c r="J16" s="152">
        <v>3</v>
      </c>
      <c r="K16" s="152">
        <v>0</v>
      </c>
      <c r="L16" s="151">
        <v>0</v>
      </c>
      <c r="M16" s="300">
        <f>SUM(Table_Default__XLS_TAB_18_3[[#This Row],[AGE_LEVEL_LESS_20]:[AGE_LEVEL_NOT_STATED]])</f>
        <v>32</v>
      </c>
      <c r="N16" s="188" t="s">
        <v>122</v>
      </c>
    </row>
    <row r="17" spans="1:14" ht="19.5" customHeight="1" thickBot="1">
      <c r="A17" s="187" t="s">
        <v>121</v>
      </c>
      <c r="B17" s="152">
        <v>0</v>
      </c>
      <c r="C17" s="152">
        <v>1</v>
      </c>
      <c r="D17" s="152">
        <v>0</v>
      </c>
      <c r="E17" s="152">
        <v>3</v>
      </c>
      <c r="F17" s="152">
        <v>2</v>
      </c>
      <c r="G17" s="152">
        <v>2</v>
      </c>
      <c r="H17" s="152">
        <v>2</v>
      </c>
      <c r="I17" s="152">
        <v>2</v>
      </c>
      <c r="J17" s="152">
        <v>0</v>
      </c>
      <c r="K17" s="152">
        <v>0</v>
      </c>
      <c r="L17" s="151">
        <v>0</v>
      </c>
      <c r="M17" s="300">
        <f>SUM(Table_Default__XLS_TAB_18_3[[#This Row],[AGE_LEVEL_LESS_20]:[AGE_LEVEL_NOT_STATED]])</f>
        <v>12</v>
      </c>
      <c r="N17" s="188" t="s">
        <v>121</v>
      </c>
    </row>
    <row r="18" spans="1:14" ht="19.5" customHeight="1" thickBot="1">
      <c r="A18" s="187" t="s">
        <v>120</v>
      </c>
      <c r="B18" s="152">
        <v>0</v>
      </c>
      <c r="C18" s="152">
        <v>0</v>
      </c>
      <c r="D18" s="152">
        <v>0</v>
      </c>
      <c r="E18" s="152">
        <v>0</v>
      </c>
      <c r="F18" s="152">
        <v>2</v>
      </c>
      <c r="G18" s="152">
        <v>2</v>
      </c>
      <c r="H18" s="152">
        <v>2</v>
      </c>
      <c r="I18" s="152">
        <v>1</v>
      </c>
      <c r="J18" s="152">
        <v>1</v>
      </c>
      <c r="K18" s="152">
        <v>1</v>
      </c>
      <c r="L18" s="151">
        <v>0</v>
      </c>
      <c r="M18" s="300">
        <f>SUM(Table_Default__XLS_TAB_18_3[[#This Row],[AGE_LEVEL_LESS_20]:[AGE_LEVEL_NOT_STATED]])</f>
        <v>9</v>
      </c>
      <c r="N18" s="188" t="s">
        <v>120</v>
      </c>
    </row>
    <row r="19" spans="1:14" ht="19.5" customHeight="1" thickBot="1">
      <c r="A19" s="187" t="s">
        <v>119</v>
      </c>
      <c r="B19" s="152">
        <v>0</v>
      </c>
      <c r="C19" s="152">
        <v>0</v>
      </c>
      <c r="D19" s="152">
        <v>0</v>
      </c>
      <c r="E19" s="152">
        <v>1</v>
      </c>
      <c r="F19" s="152">
        <v>1</v>
      </c>
      <c r="G19" s="152">
        <v>0</v>
      </c>
      <c r="H19" s="152">
        <v>0</v>
      </c>
      <c r="I19" s="152">
        <v>0</v>
      </c>
      <c r="J19" s="152">
        <v>0</v>
      </c>
      <c r="K19" s="152">
        <v>0</v>
      </c>
      <c r="L19" s="151">
        <v>0</v>
      </c>
      <c r="M19" s="300">
        <f>SUM(Table_Default__XLS_TAB_18_3[[#This Row],[AGE_LEVEL_LESS_20]:[AGE_LEVEL_NOT_STATED]])</f>
        <v>2</v>
      </c>
      <c r="N19" s="188" t="s">
        <v>119</v>
      </c>
    </row>
    <row r="20" spans="1:14" ht="19.5" customHeight="1" thickBot="1">
      <c r="A20" s="187" t="s">
        <v>118</v>
      </c>
      <c r="B20" s="152">
        <v>0</v>
      </c>
      <c r="C20" s="152">
        <v>0</v>
      </c>
      <c r="D20" s="152">
        <v>0</v>
      </c>
      <c r="E20" s="152">
        <v>0</v>
      </c>
      <c r="F20" s="152">
        <v>1</v>
      </c>
      <c r="G20" s="152">
        <v>0</v>
      </c>
      <c r="H20" s="152">
        <v>1</v>
      </c>
      <c r="I20" s="152">
        <v>0</v>
      </c>
      <c r="J20" s="152">
        <v>0</v>
      </c>
      <c r="K20" s="152">
        <v>0</v>
      </c>
      <c r="L20" s="151">
        <v>0</v>
      </c>
      <c r="M20" s="300">
        <f>SUM(Table_Default__XLS_TAB_18_3[[#This Row],[AGE_LEVEL_LESS_20]:[AGE_LEVEL_NOT_STATED]])</f>
        <v>2</v>
      </c>
      <c r="N20" s="188" t="s">
        <v>118</v>
      </c>
    </row>
    <row r="21" spans="1:14" ht="19.5" customHeight="1" thickBot="1">
      <c r="A21" s="187" t="s">
        <v>117</v>
      </c>
      <c r="B21" s="152">
        <v>0</v>
      </c>
      <c r="C21" s="152">
        <v>0</v>
      </c>
      <c r="D21" s="152">
        <v>0</v>
      </c>
      <c r="E21" s="152">
        <v>0</v>
      </c>
      <c r="F21" s="152">
        <v>0</v>
      </c>
      <c r="G21" s="152">
        <v>0</v>
      </c>
      <c r="H21" s="152">
        <v>0</v>
      </c>
      <c r="I21" s="152">
        <v>0</v>
      </c>
      <c r="J21" s="152">
        <v>0</v>
      </c>
      <c r="K21" s="152">
        <v>0</v>
      </c>
      <c r="L21" s="151">
        <v>0</v>
      </c>
      <c r="M21" s="300">
        <f>SUM(Table_Default__XLS_TAB_18_3[[#This Row],[AGE_LEVEL_LESS_20]:[AGE_LEVEL_NOT_STATED]])</f>
        <v>0</v>
      </c>
      <c r="N21" s="188" t="s">
        <v>117</v>
      </c>
    </row>
    <row r="22" spans="1:14" ht="19.5" customHeight="1">
      <c r="A22" s="189" t="s">
        <v>15</v>
      </c>
      <c r="B22" s="153">
        <v>0</v>
      </c>
      <c r="C22" s="153">
        <v>0</v>
      </c>
      <c r="D22" s="153">
        <v>0</v>
      </c>
      <c r="E22" s="153">
        <v>0</v>
      </c>
      <c r="F22" s="153">
        <v>0</v>
      </c>
      <c r="G22" s="153">
        <v>0</v>
      </c>
      <c r="H22" s="153">
        <v>0</v>
      </c>
      <c r="I22" s="153">
        <v>0</v>
      </c>
      <c r="J22" s="153">
        <v>0</v>
      </c>
      <c r="K22" s="153">
        <v>0</v>
      </c>
      <c r="L22" s="186">
        <v>0</v>
      </c>
      <c r="M22" s="425">
        <f>SUM(Table_Default__XLS_TAB_18_3[[#This Row],[AGE_LEVEL_LESS_20]:[AGE_LEVEL_NOT_STATED]])</f>
        <v>0</v>
      </c>
      <c r="N22" s="190" t="s">
        <v>16</v>
      </c>
    </row>
    <row r="23" spans="1:14" ht="19.5" customHeight="1">
      <c r="A23" s="921" t="s">
        <v>17</v>
      </c>
      <c r="B23" s="922">
        <f>SUBTOTAL(109,Table_Default__XLS_TAB_18_3[AGE_LEVEL_LESS_20])</f>
        <v>71</v>
      </c>
      <c r="C23" s="922">
        <f>SUBTOTAL(109,Table_Default__XLS_TAB_18_3[AGE_LEVEL_20_24])</f>
        <v>452</v>
      </c>
      <c r="D23" s="922">
        <f>SUBTOTAL(109,Table_Default__XLS_TAB_18_3[AGE_LEVEL_25_29])</f>
        <v>351</v>
      </c>
      <c r="E23" s="922">
        <f>SUBTOTAL(109,Table_Default__XLS_TAB_18_3[AGE_LEVEL_30_34])</f>
        <v>148</v>
      </c>
      <c r="F23" s="922">
        <f>SUBTOTAL(109,Table_Default__XLS_TAB_18_3[AGE_LEVEL_35_39])</f>
        <v>84</v>
      </c>
      <c r="G23" s="922">
        <f>SUBTOTAL(109,Table_Default__XLS_TAB_18_3[AGE_LEVEL_40_44])</f>
        <v>49</v>
      </c>
      <c r="H23" s="922">
        <f>SUBTOTAL(109,Table_Default__XLS_TAB_18_3[AGE_LEVEL_45_49])</f>
        <v>23</v>
      </c>
      <c r="I23" s="922">
        <f>SUBTOTAL(109,Table_Default__XLS_TAB_18_3[AGE_LEVEL_50_54])</f>
        <v>8</v>
      </c>
      <c r="J23" s="922">
        <f>SUBTOTAL(109,Table_Default__XLS_TAB_18_3[AGE_LEVEL_55_59])</f>
        <v>4</v>
      </c>
      <c r="K23" s="922">
        <f>SUBTOTAL(109,Table_Default__XLS_TAB_18_3[AGE_LEVEL_UP_60])</f>
        <v>1</v>
      </c>
      <c r="L23" s="922">
        <f>SUBTOTAL(109,Table_Default__XLS_TAB_18_3[AGE_LEVEL_NOT_STATED])</f>
        <v>0</v>
      </c>
      <c r="M23" s="923">
        <f>SUBTOTAL(109,Table_Default__XLS_TAB_18_3[TOTAL])</f>
        <v>1191</v>
      </c>
      <c r="N23" s="924" t="s">
        <v>56</v>
      </c>
    </row>
    <row r="24" spans="1:14">
      <c r="A24" s="2"/>
      <c r="B24" s="2"/>
      <c r="C24" s="2"/>
      <c r="D24" s="2"/>
      <c r="E24" s="2"/>
      <c r="F24" s="2"/>
      <c r="G24" s="2"/>
      <c r="H24" s="2"/>
      <c r="I24" s="2"/>
      <c r="J24" s="2"/>
      <c r="K24" s="2"/>
      <c r="L24" s="2"/>
      <c r="M24" s="2"/>
      <c r="N24" s="2"/>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N29"/>
  <sheetViews>
    <sheetView rightToLeft="1" view="pageBreakPreview" zoomScaleNormal="75" workbookViewId="0">
      <selection activeCell="E18" sqref="E18"/>
    </sheetView>
  </sheetViews>
  <sheetFormatPr defaultColWidth="9.140625" defaultRowHeight="12.75"/>
  <cols>
    <col min="1" max="1" width="16.85546875" style="2" customWidth="1"/>
    <col min="2" max="2" width="10.42578125" style="2" customWidth="1"/>
    <col min="3" max="9" width="8" style="2" customWidth="1"/>
    <col min="10" max="10" width="9.5703125" style="2" customWidth="1"/>
    <col min="11" max="11" width="8" style="2" customWidth="1"/>
    <col min="12" max="12" width="10.5703125" style="2" customWidth="1"/>
    <col min="13" max="13" width="11.42578125" style="195" customWidth="1"/>
    <col min="14" max="14" width="18.85546875" style="2" customWidth="1"/>
    <col min="15" max="16384" width="9.140625" style="2"/>
  </cols>
  <sheetData>
    <row r="1" spans="1:14" ht="24" customHeight="1">
      <c r="A1" s="1009" t="s">
        <v>687</v>
      </c>
      <c r="B1" s="1009"/>
      <c r="C1" s="1009"/>
      <c r="D1" s="1110"/>
      <c r="E1" s="1009"/>
      <c r="F1" s="1009"/>
      <c r="G1" s="1009"/>
      <c r="H1" s="1009"/>
      <c r="I1" s="1009"/>
      <c r="J1" s="1009"/>
      <c r="K1" s="1009"/>
      <c r="L1" s="1009"/>
      <c r="M1" s="1009"/>
      <c r="N1" s="1009"/>
    </row>
    <row r="2" spans="1:14" s="3" customFormat="1" ht="18" customHeight="1">
      <c r="A2" s="1036" t="s">
        <v>570</v>
      </c>
      <c r="B2" s="1036"/>
      <c r="C2" s="1036"/>
      <c r="D2" s="1036"/>
      <c r="E2" s="1036"/>
      <c r="F2" s="1036"/>
      <c r="G2" s="1036"/>
      <c r="H2" s="1036"/>
      <c r="I2" s="1036"/>
      <c r="J2" s="1036"/>
      <c r="K2" s="1036"/>
      <c r="L2" s="1036"/>
      <c r="M2" s="1036"/>
      <c r="N2" s="1036"/>
    </row>
    <row r="3" spans="1:14" ht="15.75">
      <c r="A3" s="1037">
        <v>2019</v>
      </c>
      <c r="B3" s="1037"/>
      <c r="C3" s="1037"/>
      <c r="D3" s="1037"/>
      <c r="E3" s="1037"/>
      <c r="F3" s="1037"/>
      <c r="G3" s="1037"/>
      <c r="H3" s="1037"/>
      <c r="I3" s="1037"/>
      <c r="J3" s="1037"/>
      <c r="K3" s="1037"/>
      <c r="L3" s="1037"/>
      <c r="M3" s="1037"/>
      <c r="N3" s="1037"/>
    </row>
    <row r="4" spans="1:14" ht="15.75">
      <c r="A4" s="1037"/>
      <c r="B4" s="1037"/>
      <c r="C4" s="1037"/>
      <c r="D4" s="1037"/>
      <c r="E4" s="1037"/>
      <c r="F4" s="1037"/>
      <c r="G4" s="1037"/>
      <c r="H4" s="1037"/>
      <c r="I4" s="1037"/>
      <c r="J4" s="1037"/>
      <c r="K4" s="1037"/>
      <c r="L4" s="1037"/>
      <c r="M4" s="1037"/>
      <c r="N4" s="1037"/>
    </row>
    <row r="5" spans="1:14" ht="15.75">
      <c r="A5" s="373" t="s">
        <v>293</v>
      </c>
      <c r="B5" s="373"/>
      <c r="C5" s="378"/>
      <c r="D5" s="378"/>
      <c r="E5" s="378"/>
      <c r="F5" s="378"/>
      <c r="G5" s="378"/>
      <c r="H5" s="378"/>
      <c r="I5" s="378"/>
      <c r="J5" s="378"/>
      <c r="K5" s="378"/>
      <c r="L5" s="378"/>
      <c r="M5" s="379"/>
      <c r="N5" s="375" t="s">
        <v>405</v>
      </c>
    </row>
    <row r="6" spans="1:14" ht="30.75" customHeight="1" thickBot="1">
      <c r="A6" s="1099" t="s">
        <v>250</v>
      </c>
      <c r="B6" s="1114" t="s">
        <v>291</v>
      </c>
      <c r="C6" s="1125" t="s">
        <v>540</v>
      </c>
      <c r="D6" s="1125"/>
      <c r="E6" s="1125"/>
      <c r="F6" s="1125"/>
      <c r="G6" s="1125"/>
      <c r="H6" s="1125"/>
      <c r="I6" s="1125"/>
      <c r="J6" s="1125"/>
      <c r="K6" s="1125"/>
      <c r="L6" s="1114" t="s">
        <v>629</v>
      </c>
      <c r="M6" s="1126" t="s">
        <v>290</v>
      </c>
      <c r="N6" s="1106" t="s">
        <v>289</v>
      </c>
    </row>
    <row r="7" spans="1:14" ht="31.5" customHeight="1">
      <c r="A7" s="1108"/>
      <c r="B7" s="1115"/>
      <c r="C7" s="319">
        <v>0</v>
      </c>
      <c r="D7" s="319">
        <v>1</v>
      </c>
      <c r="E7" s="319">
        <v>2</v>
      </c>
      <c r="F7" s="319">
        <v>3</v>
      </c>
      <c r="G7" s="319">
        <v>4</v>
      </c>
      <c r="H7" s="319">
        <v>5</v>
      </c>
      <c r="I7" s="319" t="s">
        <v>558</v>
      </c>
      <c r="J7" s="509" t="s">
        <v>627</v>
      </c>
      <c r="K7" s="509" t="s">
        <v>628</v>
      </c>
      <c r="L7" s="1128"/>
      <c r="M7" s="1127"/>
      <c r="N7" s="1109"/>
    </row>
    <row r="8" spans="1:14" ht="23.25" customHeight="1" thickBot="1">
      <c r="A8" s="1131" t="s">
        <v>278</v>
      </c>
      <c r="B8" s="205" t="s">
        <v>283</v>
      </c>
      <c r="C8" s="196">
        <v>1603</v>
      </c>
      <c r="D8" s="196">
        <v>41</v>
      </c>
      <c r="E8" s="196">
        <v>46</v>
      </c>
      <c r="F8" s="196">
        <v>37</v>
      </c>
      <c r="G8" s="196">
        <v>38</v>
      </c>
      <c r="H8" s="196">
        <v>37</v>
      </c>
      <c r="I8" s="196">
        <v>50</v>
      </c>
      <c r="J8" s="196">
        <v>0</v>
      </c>
      <c r="K8" s="191">
        <f>SUM(C8:J8)</f>
        <v>1852</v>
      </c>
      <c r="L8" s="412">
        <f>K8/K16%</f>
        <v>51.146092239712786</v>
      </c>
      <c r="M8" s="200" t="s">
        <v>282</v>
      </c>
      <c r="N8" s="1129" t="s">
        <v>288</v>
      </c>
    </row>
    <row r="9" spans="1:14" ht="23.25" customHeight="1" thickBot="1">
      <c r="A9" s="1132"/>
      <c r="B9" s="206" t="s">
        <v>281</v>
      </c>
      <c r="C9" s="197">
        <v>0</v>
      </c>
      <c r="D9" s="197">
        <v>41</v>
      </c>
      <c r="E9" s="197">
        <v>92</v>
      </c>
      <c r="F9" s="197">
        <v>111</v>
      </c>
      <c r="G9" s="197">
        <v>152</v>
      </c>
      <c r="H9" s="197">
        <v>185</v>
      </c>
      <c r="I9" s="197">
        <v>380</v>
      </c>
      <c r="J9" s="197">
        <v>0</v>
      </c>
      <c r="K9" s="192">
        <f t="shared" ref="K9:K15" si="0">SUM(C9:J9)</f>
        <v>961</v>
      </c>
      <c r="L9" s="413">
        <f>K9/K17%</f>
        <v>47.692307692307693</v>
      </c>
      <c r="M9" s="201" t="s">
        <v>462</v>
      </c>
      <c r="N9" s="1130"/>
    </row>
    <row r="10" spans="1:14" ht="23.25" customHeight="1" thickBot="1">
      <c r="A10" s="1133" t="s">
        <v>287</v>
      </c>
      <c r="B10" s="207" t="s">
        <v>283</v>
      </c>
      <c r="C10" s="198">
        <v>172</v>
      </c>
      <c r="D10" s="198">
        <v>8</v>
      </c>
      <c r="E10" s="198">
        <v>7</v>
      </c>
      <c r="F10" s="198">
        <v>13</v>
      </c>
      <c r="G10" s="198">
        <v>6</v>
      </c>
      <c r="H10" s="198">
        <v>3</v>
      </c>
      <c r="I10" s="198">
        <v>16</v>
      </c>
      <c r="J10" s="198">
        <v>0</v>
      </c>
      <c r="K10" s="18">
        <f t="shared" si="0"/>
        <v>225</v>
      </c>
      <c r="L10" s="414">
        <f>K10/K16%</f>
        <v>6.2137531068765535</v>
      </c>
      <c r="M10" s="202" t="s">
        <v>282</v>
      </c>
      <c r="N10" s="1139" t="s">
        <v>286</v>
      </c>
    </row>
    <row r="11" spans="1:14" ht="23.25" customHeight="1" thickBot="1">
      <c r="A11" s="1133"/>
      <c r="B11" s="207" t="s">
        <v>281</v>
      </c>
      <c r="C11" s="198">
        <v>0</v>
      </c>
      <c r="D11" s="198">
        <v>8</v>
      </c>
      <c r="E11" s="198">
        <v>14</v>
      </c>
      <c r="F11" s="198">
        <v>39</v>
      </c>
      <c r="G11" s="198">
        <v>24</v>
      </c>
      <c r="H11" s="198">
        <v>15</v>
      </c>
      <c r="I11" s="198">
        <v>132</v>
      </c>
      <c r="J11" s="198">
        <v>0</v>
      </c>
      <c r="K11" s="18">
        <f t="shared" si="0"/>
        <v>232</v>
      </c>
      <c r="L11" s="414">
        <f>K11/K17%</f>
        <v>11.513647642679901</v>
      </c>
      <c r="M11" s="202" t="s">
        <v>462</v>
      </c>
      <c r="N11" s="1139"/>
    </row>
    <row r="12" spans="1:14" ht="23.25" customHeight="1" thickBot="1">
      <c r="A12" s="1132" t="s">
        <v>276</v>
      </c>
      <c r="B12" s="206" t="s">
        <v>283</v>
      </c>
      <c r="C12" s="197">
        <v>104</v>
      </c>
      <c r="D12" s="197">
        <v>4</v>
      </c>
      <c r="E12" s="197">
        <v>1</v>
      </c>
      <c r="F12" s="197">
        <v>2</v>
      </c>
      <c r="G12" s="197">
        <v>1</v>
      </c>
      <c r="H12" s="197">
        <v>3</v>
      </c>
      <c r="I12" s="197">
        <v>5</v>
      </c>
      <c r="J12" s="197">
        <v>0</v>
      </c>
      <c r="K12" s="192">
        <f t="shared" si="0"/>
        <v>120</v>
      </c>
      <c r="L12" s="413">
        <f>K12/K16%</f>
        <v>3.3140016570008286</v>
      </c>
      <c r="M12" s="201" t="s">
        <v>282</v>
      </c>
      <c r="N12" s="1130" t="s">
        <v>285</v>
      </c>
    </row>
    <row r="13" spans="1:14" ht="23.25" customHeight="1" thickBot="1">
      <c r="A13" s="1132"/>
      <c r="B13" s="206" t="s">
        <v>281</v>
      </c>
      <c r="C13" s="197">
        <v>0</v>
      </c>
      <c r="D13" s="197">
        <v>4</v>
      </c>
      <c r="E13" s="197">
        <v>2</v>
      </c>
      <c r="F13" s="197">
        <v>6</v>
      </c>
      <c r="G13" s="197">
        <v>4</v>
      </c>
      <c r="H13" s="197">
        <v>15</v>
      </c>
      <c r="I13" s="197">
        <v>43</v>
      </c>
      <c r="J13" s="197">
        <v>0</v>
      </c>
      <c r="K13" s="192">
        <f t="shared" si="0"/>
        <v>74</v>
      </c>
      <c r="L13" s="413">
        <f>K13/K17%</f>
        <v>3.6724565756823826</v>
      </c>
      <c r="M13" s="201" t="s">
        <v>462</v>
      </c>
      <c r="N13" s="1130"/>
    </row>
    <row r="14" spans="1:14" ht="23.25" customHeight="1" thickBot="1">
      <c r="A14" s="1133" t="s">
        <v>275</v>
      </c>
      <c r="B14" s="207" t="s">
        <v>283</v>
      </c>
      <c r="C14" s="198">
        <v>1166</v>
      </c>
      <c r="D14" s="198">
        <v>56</v>
      </c>
      <c r="E14" s="198">
        <v>67</v>
      </c>
      <c r="F14" s="198">
        <v>64</v>
      </c>
      <c r="G14" s="198">
        <v>34</v>
      </c>
      <c r="H14" s="198">
        <v>21</v>
      </c>
      <c r="I14" s="198">
        <v>16</v>
      </c>
      <c r="J14" s="198">
        <v>0</v>
      </c>
      <c r="K14" s="18">
        <f t="shared" si="0"/>
        <v>1424</v>
      </c>
      <c r="L14" s="414">
        <f>K14/K16%</f>
        <v>39.326152996409832</v>
      </c>
      <c r="M14" s="202" t="s">
        <v>282</v>
      </c>
      <c r="N14" s="1139" t="s">
        <v>284</v>
      </c>
    </row>
    <row r="15" spans="1:14" ht="23.25" customHeight="1">
      <c r="A15" s="1134"/>
      <c r="B15" s="208" t="s">
        <v>281</v>
      </c>
      <c r="C15" s="199">
        <v>0</v>
      </c>
      <c r="D15" s="199">
        <v>56</v>
      </c>
      <c r="E15" s="199">
        <v>134</v>
      </c>
      <c r="F15" s="199">
        <v>192</v>
      </c>
      <c r="G15" s="199">
        <v>136</v>
      </c>
      <c r="H15" s="199">
        <v>105</v>
      </c>
      <c r="I15" s="199">
        <v>125</v>
      </c>
      <c r="J15" s="199">
        <v>0</v>
      </c>
      <c r="K15" s="56">
        <f t="shared" si="0"/>
        <v>748</v>
      </c>
      <c r="L15" s="415">
        <f>K15/K17%</f>
        <v>37.121588089330025</v>
      </c>
      <c r="M15" s="203" t="s">
        <v>462</v>
      </c>
      <c r="N15" s="1140"/>
    </row>
    <row r="16" spans="1:14" ht="23.25" customHeight="1" thickBot="1">
      <c r="A16" s="1137" t="s">
        <v>192</v>
      </c>
      <c r="B16" s="205" t="s">
        <v>283</v>
      </c>
      <c r="C16" s="191">
        <f t="shared" ref="C16:J17" si="1">C8+C10+C12+C14</f>
        <v>3045</v>
      </c>
      <c r="D16" s="191">
        <f t="shared" si="1"/>
        <v>109</v>
      </c>
      <c r="E16" s="191">
        <f>E8+E10+E12+E14</f>
        <v>121</v>
      </c>
      <c r="F16" s="191">
        <f t="shared" si="1"/>
        <v>116</v>
      </c>
      <c r="G16" s="191">
        <f t="shared" si="1"/>
        <v>79</v>
      </c>
      <c r="H16" s="191">
        <f t="shared" si="1"/>
        <v>64</v>
      </c>
      <c r="I16" s="191">
        <f>I8+I10+I12+I14</f>
        <v>87</v>
      </c>
      <c r="J16" s="191">
        <f t="shared" si="1"/>
        <v>0</v>
      </c>
      <c r="K16" s="191">
        <f>SUM(C16:J16)</f>
        <v>3621</v>
      </c>
      <c r="L16" s="412">
        <f>L8+L10+L12+L14</f>
        <v>100</v>
      </c>
      <c r="M16" s="200" t="s">
        <v>282</v>
      </c>
      <c r="N16" s="1135" t="s">
        <v>18</v>
      </c>
    </row>
    <row r="17" spans="1:14" ht="23.25" customHeight="1">
      <c r="A17" s="1138"/>
      <c r="B17" s="209" t="s">
        <v>281</v>
      </c>
      <c r="C17" s="193">
        <f t="shared" si="1"/>
        <v>0</v>
      </c>
      <c r="D17" s="193">
        <f>D9+D11+D13+D15</f>
        <v>109</v>
      </c>
      <c r="E17" s="193">
        <f>E9+E11+E13+E15</f>
        <v>242</v>
      </c>
      <c r="F17" s="193">
        <f>F9+F11+F13+F15</f>
        <v>348</v>
      </c>
      <c r="G17" s="193">
        <f t="shared" si="1"/>
        <v>316</v>
      </c>
      <c r="H17" s="193">
        <f t="shared" si="1"/>
        <v>320</v>
      </c>
      <c r="I17" s="193">
        <f t="shared" si="1"/>
        <v>680</v>
      </c>
      <c r="J17" s="193">
        <f t="shared" si="1"/>
        <v>0</v>
      </c>
      <c r="K17" s="193">
        <f>SUM(C17:J17)</f>
        <v>2015</v>
      </c>
      <c r="L17" s="416">
        <f>L9+L11+L13+L15</f>
        <v>100</v>
      </c>
      <c r="M17" s="204" t="s">
        <v>462</v>
      </c>
      <c r="N17" s="1136"/>
    </row>
    <row r="18" spans="1:14">
      <c r="C18" s="350"/>
      <c r="D18" s="350"/>
      <c r="E18" s="350"/>
      <c r="F18" s="350"/>
      <c r="G18" s="350"/>
      <c r="H18" s="350"/>
      <c r="I18" s="350"/>
      <c r="J18" s="350"/>
      <c r="K18" s="350"/>
      <c r="L18" s="350"/>
    </row>
    <row r="25" spans="1:14" ht="39" thickBot="1">
      <c r="B25" s="194" t="s">
        <v>279</v>
      </c>
      <c r="C25" s="194" t="s">
        <v>538</v>
      </c>
    </row>
    <row r="26" spans="1:14" ht="12.75" customHeight="1" thickBot="1">
      <c r="A26" s="66" t="s">
        <v>278</v>
      </c>
    </row>
    <row r="27" spans="1:14" ht="13.5" customHeight="1" thickBot="1">
      <c r="A27" s="66" t="s">
        <v>277</v>
      </c>
    </row>
    <row r="28" spans="1:14" ht="12.75" customHeight="1" thickBot="1">
      <c r="A28" s="66" t="s">
        <v>276</v>
      </c>
    </row>
    <row r="29" spans="1:14" ht="13.5" customHeight="1">
      <c r="A29" s="66" t="s">
        <v>275</v>
      </c>
    </row>
  </sheetData>
  <mergeCells count="20">
    <mergeCell ref="N16:N17"/>
    <mergeCell ref="A16:A17"/>
    <mergeCell ref="N10:N11"/>
    <mergeCell ref="N12:N13"/>
    <mergeCell ref="N14:N15"/>
    <mergeCell ref="N8:N9"/>
    <mergeCell ref="A8:A9"/>
    <mergeCell ref="A10:A11"/>
    <mergeCell ref="A12:A13"/>
    <mergeCell ref="A14:A15"/>
    <mergeCell ref="A1:N1"/>
    <mergeCell ref="A2:N2"/>
    <mergeCell ref="A3:N3"/>
    <mergeCell ref="A4:N4"/>
    <mergeCell ref="A6:A7"/>
    <mergeCell ref="C6:K6"/>
    <mergeCell ref="M6:M7"/>
    <mergeCell ref="N6:N7"/>
    <mergeCell ref="B6:B7"/>
    <mergeCell ref="L6:L7"/>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N29"/>
  <sheetViews>
    <sheetView rightToLeft="1" view="pageBreakPreview" topLeftCell="A2" zoomScaleNormal="75" zoomScaleSheetLayoutView="100" workbookViewId="0">
      <selection activeCell="C18" sqref="C18"/>
    </sheetView>
  </sheetViews>
  <sheetFormatPr defaultColWidth="9.140625" defaultRowHeight="12.75"/>
  <cols>
    <col min="1" max="1" width="16.85546875" style="2" customWidth="1"/>
    <col min="2" max="2" width="11.5703125" style="2" customWidth="1"/>
    <col min="3" max="11" width="7.85546875" style="2" customWidth="1"/>
    <col min="12" max="12" width="10.5703125" style="2" customWidth="1"/>
    <col min="13" max="13" width="11.85546875" style="195" customWidth="1"/>
    <col min="14" max="14" width="24.5703125" style="2" customWidth="1"/>
    <col min="15" max="16384" width="9.140625" style="2"/>
  </cols>
  <sheetData>
    <row r="1" spans="1:14" ht="24" customHeight="1">
      <c r="A1" s="1009" t="s">
        <v>688</v>
      </c>
      <c r="B1" s="1009"/>
      <c r="C1" s="1009"/>
      <c r="D1" s="1110"/>
      <c r="E1" s="1009"/>
      <c r="F1" s="1009"/>
      <c r="G1" s="1009"/>
      <c r="H1" s="1009"/>
      <c r="I1" s="1009"/>
      <c r="J1" s="1009"/>
      <c r="K1" s="1009"/>
      <c r="L1" s="1009"/>
      <c r="M1" s="1009"/>
      <c r="N1" s="1009"/>
    </row>
    <row r="2" spans="1:14" s="3" customFormat="1" ht="18" customHeight="1">
      <c r="A2" s="1036" t="s">
        <v>551</v>
      </c>
      <c r="B2" s="1036"/>
      <c r="C2" s="1036"/>
      <c r="D2" s="1036"/>
      <c r="E2" s="1036"/>
      <c r="F2" s="1036"/>
      <c r="G2" s="1036"/>
      <c r="H2" s="1036"/>
      <c r="I2" s="1036"/>
      <c r="J2" s="1036"/>
      <c r="K2" s="1036"/>
      <c r="L2" s="1036"/>
      <c r="M2" s="1036"/>
      <c r="N2" s="1036"/>
    </row>
    <row r="3" spans="1:14" ht="15.75">
      <c r="A3" s="1037">
        <v>2019</v>
      </c>
      <c r="B3" s="1037"/>
      <c r="C3" s="1037"/>
      <c r="D3" s="1037"/>
      <c r="E3" s="1037"/>
      <c r="F3" s="1037"/>
      <c r="G3" s="1037"/>
      <c r="H3" s="1037"/>
      <c r="I3" s="1037"/>
      <c r="J3" s="1037"/>
      <c r="K3" s="1037"/>
      <c r="L3" s="1037"/>
      <c r="M3" s="1037"/>
      <c r="N3" s="1037"/>
    </row>
    <row r="4" spans="1:14" ht="15.75">
      <c r="A4" s="1037"/>
      <c r="B4" s="1037"/>
      <c r="C4" s="1037"/>
      <c r="D4" s="1037"/>
      <c r="E4" s="1037"/>
      <c r="F4" s="1037"/>
      <c r="G4" s="1037"/>
      <c r="H4" s="1037"/>
      <c r="I4" s="1037"/>
      <c r="J4" s="1037"/>
      <c r="K4" s="1037"/>
      <c r="L4" s="1037"/>
      <c r="M4" s="1037"/>
      <c r="N4" s="1037"/>
    </row>
    <row r="5" spans="1:14" ht="15.75">
      <c r="A5" s="373" t="s">
        <v>295</v>
      </c>
      <c r="B5" s="373"/>
      <c r="C5" s="378"/>
      <c r="D5" s="378"/>
      <c r="E5" s="378"/>
      <c r="F5" s="378"/>
      <c r="G5" s="378"/>
      <c r="H5" s="378"/>
      <c r="I5" s="378"/>
      <c r="J5" s="378"/>
      <c r="K5" s="378"/>
      <c r="L5" s="378"/>
      <c r="M5" s="379"/>
      <c r="N5" s="375" t="s">
        <v>406</v>
      </c>
    </row>
    <row r="6" spans="1:14" ht="30.75" customHeight="1" thickBot="1">
      <c r="A6" s="1099" t="s">
        <v>250</v>
      </c>
      <c r="B6" s="1114" t="s">
        <v>291</v>
      </c>
      <c r="C6" s="1125" t="s">
        <v>540</v>
      </c>
      <c r="D6" s="1125"/>
      <c r="E6" s="1125"/>
      <c r="F6" s="1125"/>
      <c r="G6" s="1125"/>
      <c r="H6" s="1125"/>
      <c r="I6" s="1125"/>
      <c r="J6" s="1125"/>
      <c r="K6" s="1125"/>
      <c r="L6" s="1114" t="s">
        <v>629</v>
      </c>
      <c r="M6" s="1126" t="s">
        <v>290</v>
      </c>
      <c r="N6" s="1106" t="s">
        <v>289</v>
      </c>
    </row>
    <row r="7" spans="1:14" ht="41.25" customHeight="1">
      <c r="A7" s="1108"/>
      <c r="B7" s="1115"/>
      <c r="C7" s="319">
        <v>0</v>
      </c>
      <c r="D7" s="319">
        <v>1</v>
      </c>
      <c r="E7" s="319">
        <v>2</v>
      </c>
      <c r="F7" s="319">
        <v>3</v>
      </c>
      <c r="G7" s="319">
        <v>4</v>
      </c>
      <c r="H7" s="319">
        <v>5</v>
      </c>
      <c r="I7" s="319" t="s">
        <v>5</v>
      </c>
      <c r="J7" s="509" t="s">
        <v>627</v>
      </c>
      <c r="K7" s="509" t="s">
        <v>628</v>
      </c>
      <c r="L7" s="1128"/>
      <c r="M7" s="1127"/>
      <c r="N7" s="1109"/>
    </row>
    <row r="8" spans="1:14" ht="24" customHeight="1" thickBot="1">
      <c r="A8" s="1141" t="s">
        <v>278</v>
      </c>
      <c r="B8" s="301" t="s">
        <v>283</v>
      </c>
      <c r="C8" s="216">
        <v>1727</v>
      </c>
      <c r="D8" s="217">
        <v>39</v>
      </c>
      <c r="E8" s="217">
        <v>27</v>
      </c>
      <c r="F8" s="217">
        <v>15</v>
      </c>
      <c r="G8" s="217">
        <v>17</v>
      </c>
      <c r="H8" s="217">
        <v>12</v>
      </c>
      <c r="I8" s="217">
        <v>15</v>
      </c>
      <c r="J8" s="218">
        <v>0</v>
      </c>
      <c r="K8" s="219">
        <f>SUM(C8:J8)</f>
        <v>1852</v>
      </c>
      <c r="L8" s="412">
        <f>K8/K16%</f>
        <v>51.146092239712786</v>
      </c>
      <c r="M8" s="302" t="s">
        <v>282</v>
      </c>
      <c r="N8" s="1142" t="s">
        <v>288</v>
      </c>
    </row>
    <row r="9" spans="1:14" ht="24" customHeight="1" thickBot="1">
      <c r="A9" s="1132"/>
      <c r="B9" s="206" t="s">
        <v>281</v>
      </c>
      <c r="C9" s="210">
        <v>0</v>
      </c>
      <c r="D9" s="197">
        <v>39</v>
      </c>
      <c r="E9" s="197">
        <v>54</v>
      </c>
      <c r="F9" s="197">
        <v>45</v>
      </c>
      <c r="G9" s="197">
        <v>68</v>
      </c>
      <c r="H9" s="197">
        <v>60</v>
      </c>
      <c r="I9" s="197">
        <v>112</v>
      </c>
      <c r="J9" s="213">
        <v>0</v>
      </c>
      <c r="K9" s="192">
        <f>SUM(C9:J9)</f>
        <v>378</v>
      </c>
      <c r="L9" s="413">
        <f>K9/K17%</f>
        <v>56</v>
      </c>
      <c r="M9" s="201" t="s">
        <v>462</v>
      </c>
      <c r="N9" s="1130"/>
    </row>
    <row r="10" spans="1:14" ht="24" customHeight="1" thickBot="1">
      <c r="A10" s="1133" t="s">
        <v>287</v>
      </c>
      <c r="B10" s="207" t="s">
        <v>283</v>
      </c>
      <c r="C10" s="211">
        <v>213</v>
      </c>
      <c r="D10" s="198">
        <v>0</v>
      </c>
      <c r="E10" s="198">
        <v>6</v>
      </c>
      <c r="F10" s="198">
        <v>3</v>
      </c>
      <c r="G10" s="198">
        <v>0</v>
      </c>
      <c r="H10" s="198">
        <v>2</v>
      </c>
      <c r="I10" s="198">
        <v>1</v>
      </c>
      <c r="J10" s="214">
        <v>0</v>
      </c>
      <c r="K10" s="18">
        <f>SUM(C10:J10)</f>
        <v>225</v>
      </c>
      <c r="L10" s="414">
        <f>K10/K16%</f>
        <v>6.2137531068765535</v>
      </c>
      <c r="M10" s="202" t="s">
        <v>282</v>
      </c>
      <c r="N10" s="1139" t="s">
        <v>286</v>
      </c>
    </row>
    <row r="11" spans="1:14" ht="24" customHeight="1" thickBot="1">
      <c r="A11" s="1133"/>
      <c r="B11" s="207" t="s">
        <v>281</v>
      </c>
      <c r="C11" s="211">
        <v>0</v>
      </c>
      <c r="D11" s="198">
        <v>0</v>
      </c>
      <c r="E11" s="198">
        <v>12</v>
      </c>
      <c r="F11" s="198">
        <v>9</v>
      </c>
      <c r="G11" s="198">
        <v>0</v>
      </c>
      <c r="H11" s="198">
        <v>10</v>
      </c>
      <c r="I11" s="198">
        <v>7</v>
      </c>
      <c r="J11" s="214">
        <v>0</v>
      </c>
      <c r="K11" s="18">
        <f t="shared" ref="K11:K14" si="0">SUM(C11:J11)</f>
        <v>38</v>
      </c>
      <c r="L11" s="414">
        <f>K11/K17%</f>
        <v>5.6296296296296298</v>
      </c>
      <c r="M11" s="202" t="s">
        <v>462</v>
      </c>
      <c r="N11" s="1139"/>
    </row>
    <row r="12" spans="1:14" ht="24" customHeight="1" thickBot="1">
      <c r="A12" s="1132" t="s">
        <v>276</v>
      </c>
      <c r="B12" s="206" t="s">
        <v>283</v>
      </c>
      <c r="C12" s="210">
        <v>111</v>
      </c>
      <c r="D12" s="197">
        <v>3</v>
      </c>
      <c r="E12" s="197">
        <v>2</v>
      </c>
      <c r="F12" s="197">
        <v>2</v>
      </c>
      <c r="G12" s="197">
        <v>1</v>
      </c>
      <c r="H12" s="197">
        <v>1</v>
      </c>
      <c r="I12" s="197">
        <v>0</v>
      </c>
      <c r="J12" s="213">
        <v>0</v>
      </c>
      <c r="K12" s="192">
        <f t="shared" si="0"/>
        <v>120</v>
      </c>
      <c r="L12" s="413">
        <f>K12/K16%</f>
        <v>3.3140016570008286</v>
      </c>
      <c r="M12" s="201" t="s">
        <v>282</v>
      </c>
      <c r="N12" s="1130" t="s">
        <v>285</v>
      </c>
    </row>
    <row r="13" spans="1:14" ht="24" customHeight="1" thickBot="1">
      <c r="A13" s="1132"/>
      <c r="B13" s="206" t="s">
        <v>281</v>
      </c>
      <c r="C13" s="210">
        <v>0</v>
      </c>
      <c r="D13" s="197">
        <v>3</v>
      </c>
      <c r="E13" s="197">
        <v>4</v>
      </c>
      <c r="F13" s="197">
        <v>6</v>
      </c>
      <c r="G13" s="197">
        <v>4</v>
      </c>
      <c r="H13" s="197">
        <v>5</v>
      </c>
      <c r="I13" s="197">
        <v>0</v>
      </c>
      <c r="J13" s="213">
        <v>0</v>
      </c>
      <c r="K13" s="192">
        <f t="shared" si="0"/>
        <v>22</v>
      </c>
      <c r="L13" s="413">
        <f>K13/K17%</f>
        <v>3.2592592592592591</v>
      </c>
      <c r="M13" s="201" t="s">
        <v>462</v>
      </c>
      <c r="N13" s="1130"/>
    </row>
    <row r="14" spans="1:14" ht="24" customHeight="1" thickBot="1">
      <c r="A14" s="1133" t="s">
        <v>275</v>
      </c>
      <c r="B14" s="207" t="s">
        <v>283</v>
      </c>
      <c r="C14" s="211">
        <v>1320</v>
      </c>
      <c r="D14" s="198">
        <v>36</v>
      </c>
      <c r="E14" s="198">
        <v>30</v>
      </c>
      <c r="F14" s="198">
        <v>20</v>
      </c>
      <c r="G14" s="198">
        <v>9</v>
      </c>
      <c r="H14" s="198">
        <v>9</v>
      </c>
      <c r="I14" s="198">
        <v>0</v>
      </c>
      <c r="J14" s="214">
        <v>0</v>
      </c>
      <c r="K14" s="18">
        <f t="shared" si="0"/>
        <v>1424</v>
      </c>
      <c r="L14" s="414">
        <f>K14/K16%</f>
        <v>39.326152996409832</v>
      </c>
      <c r="M14" s="202" t="s">
        <v>282</v>
      </c>
      <c r="N14" s="1139" t="s">
        <v>284</v>
      </c>
    </row>
    <row r="15" spans="1:14" ht="24" customHeight="1">
      <c r="A15" s="1134"/>
      <c r="B15" s="208" t="s">
        <v>281</v>
      </c>
      <c r="C15" s="212">
        <v>0</v>
      </c>
      <c r="D15" s="199">
        <v>36</v>
      </c>
      <c r="E15" s="199">
        <v>60</v>
      </c>
      <c r="F15" s="199">
        <v>60</v>
      </c>
      <c r="G15" s="199">
        <v>36</v>
      </c>
      <c r="H15" s="199">
        <v>45</v>
      </c>
      <c r="I15" s="199">
        <v>0</v>
      </c>
      <c r="J15" s="215">
        <v>0</v>
      </c>
      <c r="K15" s="56">
        <f>SUM(C15:J15)</f>
        <v>237</v>
      </c>
      <c r="L15" s="415">
        <f>K15/K17%</f>
        <v>35.111111111111114</v>
      </c>
      <c r="M15" s="203" t="s">
        <v>462</v>
      </c>
      <c r="N15" s="1140"/>
    </row>
    <row r="16" spans="1:14" ht="24" customHeight="1" thickBot="1">
      <c r="A16" s="1137" t="s">
        <v>192</v>
      </c>
      <c r="B16" s="205" t="s">
        <v>283</v>
      </c>
      <c r="C16" s="219">
        <f>C8+C10+C12+C14</f>
        <v>3371</v>
      </c>
      <c r="D16" s="219">
        <f>D8+D10+D12+D14</f>
        <v>78</v>
      </c>
      <c r="E16" s="219">
        <f t="shared" ref="D16:J17" si="1">E8+E10+E12+E14</f>
        <v>65</v>
      </c>
      <c r="F16" s="219">
        <f t="shared" si="1"/>
        <v>40</v>
      </c>
      <c r="G16" s="219">
        <f t="shared" si="1"/>
        <v>27</v>
      </c>
      <c r="H16" s="219">
        <f>H8+H10+H12+H14</f>
        <v>24</v>
      </c>
      <c r="I16" s="219">
        <f t="shared" si="1"/>
        <v>16</v>
      </c>
      <c r="J16" s="219">
        <f t="shared" si="1"/>
        <v>0</v>
      </c>
      <c r="K16" s="191">
        <f>SUM(C16:J16)</f>
        <v>3621</v>
      </c>
      <c r="L16" s="412">
        <f>L8+L10+L12+L14</f>
        <v>100</v>
      </c>
      <c r="M16" s="200" t="s">
        <v>282</v>
      </c>
      <c r="N16" s="1135" t="s">
        <v>18</v>
      </c>
    </row>
    <row r="17" spans="1:14" ht="24" customHeight="1">
      <c r="A17" s="1138"/>
      <c r="B17" s="209" t="s">
        <v>281</v>
      </c>
      <c r="C17" s="193">
        <f>C9+C11+C13+C15</f>
        <v>0</v>
      </c>
      <c r="D17" s="193">
        <f t="shared" si="1"/>
        <v>78</v>
      </c>
      <c r="E17" s="193">
        <f t="shared" si="1"/>
        <v>130</v>
      </c>
      <c r="F17" s="193">
        <f t="shared" si="1"/>
        <v>120</v>
      </c>
      <c r="G17" s="193">
        <f t="shared" si="1"/>
        <v>108</v>
      </c>
      <c r="H17" s="193">
        <f t="shared" si="1"/>
        <v>120</v>
      </c>
      <c r="I17" s="193">
        <f t="shared" si="1"/>
        <v>119</v>
      </c>
      <c r="J17" s="193">
        <f t="shared" si="1"/>
        <v>0</v>
      </c>
      <c r="K17" s="193">
        <f>SUM(C17:J17)</f>
        <v>675</v>
      </c>
      <c r="L17" s="416">
        <f>L9+L11+L13+L15</f>
        <v>100</v>
      </c>
      <c r="M17" s="204" t="s">
        <v>462</v>
      </c>
      <c r="N17" s="1136"/>
    </row>
    <row r="18" spans="1:14">
      <c r="L18" s="350"/>
    </row>
    <row r="25" spans="1:14" ht="39" thickBot="1">
      <c r="B25" s="194" t="s">
        <v>279</v>
      </c>
      <c r="C25" s="194" t="s">
        <v>539</v>
      </c>
    </row>
    <row r="26" spans="1:14" ht="75.75" thickBot="1">
      <c r="A26" s="66" t="s">
        <v>541</v>
      </c>
      <c r="B26" s="185">
        <f>K8</f>
        <v>1852</v>
      </c>
      <c r="C26" s="185">
        <f>K9</f>
        <v>378</v>
      </c>
    </row>
    <row r="27" spans="1:14" ht="90.75" thickBot="1">
      <c r="A27" s="66" t="s">
        <v>542</v>
      </c>
      <c r="B27" s="185">
        <f>K10</f>
        <v>225</v>
      </c>
      <c r="C27" s="185">
        <f>K11</f>
        <v>38</v>
      </c>
    </row>
    <row r="28" spans="1:14" ht="75.75" thickBot="1">
      <c r="A28" s="66" t="s">
        <v>543</v>
      </c>
      <c r="B28" s="185">
        <f>K12</f>
        <v>120</v>
      </c>
      <c r="C28" s="185">
        <f>K13</f>
        <v>22</v>
      </c>
    </row>
    <row r="29" spans="1:14" ht="90">
      <c r="A29" s="66" t="s">
        <v>544</v>
      </c>
      <c r="B29" s="185">
        <f>K14</f>
        <v>1424</v>
      </c>
      <c r="C29" s="185">
        <f>K15</f>
        <v>237</v>
      </c>
    </row>
  </sheetData>
  <mergeCells count="20">
    <mergeCell ref="A8:A9"/>
    <mergeCell ref="N8:N9"/>
    <mergeCell ref="A16:A17"/>
    <mergeCell ref="N16:N17"/>
    <mergeCell ref="A10:A11"/>
    <mergeCell ref="N10:N11"/>
    <mergeCell ref="A12:A13"/>
    <mergeCell ref="N12:N13"/>
    <mergeCell ref="A14:A15"/>
    <mergeCell ref="N14:N15"/>
    <mergeCell ref="A1:N1"/>
    <mergeCell ref="A2:N2"/>
    <mergeCell ref="A3:N3"/>
    <mergeCell ref="A4:N4"/>
    <mergeCell ref="A6:A7"/>
    <mergeCell ref="B6:B7"/>
    <mergeCell ref="C6:K6"/>
    <mergeCell ref="M6:M7"/>
    <mergeCell ref="N6:N7"/>
    <mergeCell ref="L6:L7"/>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3:M33"/>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33" spans="1:13" ht="15.75">
      <c r="A33" s="1038" t="s">
        <v>292</v>
      </c>
      <c r="B33" s="1038"/>
      <c r="C33" s="1038"/>
      <c r="D33" s="1038"/>
      <c r="E33" s="1038"/>
      <c r="F33" s="1038"/>
      <c r="G33" s="1038"/>
      <c r="H33" s="1038"/>
      <c r="I33" s="1038"/>
      <c r="J33" s="1038"/>
      <c r="K33" s="1038"/>
      <c r="L33" s="1038"/>
      <c r="M33" s="1038"/>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
  <sheetViews>
    <sheetView rightToLeft="1" view="pageBreakPreview" zoomScaleNormal="100" zoomScaleSheetLayoutView="100" workbookViewId="0">
      <selection activeCell="M18" sqref="M18"/>
    </sheetView>
  </sheetViews>
  <sheetFormatPr defaultColWidth="9.140625" defaultRowHeight="12.75"/>
  <cols>
    <col min="1" max="1" width="52.570312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18"/>
  <sheetViews>
    <sheetView rightToLeft="1" view="pageBreakPreview" topLeftCell="A7" zoomScaleNormal="100" zoomScaleSheetLayoutView="100" workbookViewId="0">
      <selection activeCell="F24" sqref="F24"/>
    </sheetView>
  </sheetViews>
  <sheetFormatPr defaultColWidth="9.140625" defaultRowHeight="12.75"/>
  <cols>
    <col min="1" max="1" width="13.85546875" style="1" customWidth="1"/>
    <col min="2" max="13" width="10.5703125" style="1" customWidth="1"/>
    <col min="14" max="14" width="13.85546875" style="1" customWidth="1"/>
    <col min="15" max="16384" width="9.140625" style="1"/>
  </cols>
  <sheetData>
    <row r="1" spans="1:15" ht="18">
      <c r="A1" s="1009" t="s">
        <v>697</v>
      </c>
      <c r="B1" s="1009"/>
      <c r="C1" s="1009"/>
      <c r="D1" s="1009"/>
      <c r="E1" s="1009"/>
      <c r="F1" s="1009"/>
      <c r="G1" s="1009"/>
      <c r="H1" s="1009"/>
      <c r="I1" s="1009"/>
      <c r="J1" s="1009"/>
      <c r="K1" s="1009"/>
      <c r="L1" s="1009"/>
      <c r="M1" s="1009"/>
      <c r="N1" s="1009"/>
    </row>
    <row r="2" spans="1:15" ht="33" customHeight="1">
      <c r="A2" s="1036" t="s">
        <v>689</v>
      </c>
      <c r="B2" s="1036"/>
      <c r="C2" s="1036"/>
      <c r="D2" s="1036"/>
      <c r="E2" s="1036"/>
      <c r="F2" s="1036"/>
      <c r="G2" s="1036"/>
      <c r="H2" s="1036"/>
      <c r="I2" s="1036"/>
      <c r="J2" s="1036"/>
      <c r="K2" s="1036"/>
      <c r="L2" s="1036"/>
      <c r="M2" s="1036"/>
      <c r="N2" s="1036"/>
    </row>
    <row r="3" spans="1:15" ht="15.75">
      <c r="A3" s="1037" t="s">
        <v>751</v>
      </c>
      <c r="B3" s="1037"/>
      <c r="C3" s="1037"/>
      <c r="D3" s="1037"/>
      <c r="E3" s="1037"/>
      <c r="F3" s="1037"/>
      <c r="G3" s="1037"/>
      <c r="H3" s="1037"/>
      <c r="I3" s="1037"/>
      <c r="J3" s="1037"/>
      <c r="K3" s="1037"/>
      <c r="L3" s="1037"/>
      <c r="M3" s="1037"/>
      <c r="N3" s="1037"/>
    </row>
    <row r="4" spans="1:15" ht="15.75">
      <c r="A4" s="1037"/>
      <c r="B4" s="1037"/>
      <c r="C4" s="1037"/>
      <c r="D4" s="1037"/>
      <c r="E4" s="1037"/>
      <c r="F4" s="1037"/>
      <c r="G4" s="1037"/>
      <c r="H4" s="1037"/>
      <c r="I4" s="1037"/>
      <c r="J4" s="1037"/>
      <c r="K4" s="1037"/>
      <c r="L4" s="1037"/>
      <c r="M4" s="1037"/>
      <c r="N4" s="1037"/>
    </row>
    <row r="5" spans="1:15" ht="20.25" customHeight="1">
      <c r="A5" s="366" t="s">
        <v>299</v>
      </c>
      <c r="B5" s="363"/>
      <c r="C5" s="367"/>
      <c r="D5" s="367"/>
      <c r="E5" s="368"/>
      <c r="F5" s="363"/>
      <c r="G5" s="367"/>
      <c r="H5" s="367"/>
      <c r="I5" s="368"/>
      <c r="J5" s="363"/>
      <c r="K5" s="367"/>
      <c r="L5" s="367"/>
      <c r="M5" s="368"/>
      <c r="N5" s="369" t="s">
        <v>407</v>
      </c>
      <c r="O5" s="39"/>
    </row>
    <row r="6" spans="1:15" ht="30.75" customHeight="1" thickBot="1">
      <c r="A6" s="1012" t="s">
        <v>31</v>
      </c>
      <c r="B6" s="1143" t="s">
        <v>53</v>
      </c>
      <c r="C6" s="1143"/>
      <c r="D6" s="1143"/>
      <c r="E6" s="1143"/>
      <c r="F6" s="1143" t="s">
        <v>52</v>
      </c>
      <c r="G6" s="1143"/>
      <c r="H6" s="1143"/>
      <c r="I6" s="1143"/>
      <c r="J6" s="1143" t="s">
        <v>1</v>
      </c>
      <c r="K6" s="1143"/>
      <c r="L6" s="1143"/>
      <c r="M6" s="1143"/>
      <c r="N6" s="1017" t="s">
        <v>29</v>
      </c>
    </row>
    <row r="7" spans="1:15" ht="24" customHeight="1" thickBot="1">
      <c r="A7" s="1013"/>
      <c r="B7" s="1043" t="s">
        <v>51</v>
      </c>
      <c r="C7" s="1043"/>
      <c r="D7" s="1043" t="s">
        <v>50</v>
      </c>
      <c r="E7" s="1043"/>
      <c r="F7" s="1043" t="s">
        <v>51</v>
      </c>
      <c r="G7" s="1043"/>
      <c r="H7" s="1043" t="s">
        <v>50</v>
      </c>
      <c r="I7" s="1043"/>
      <c r="J7" s="1043" t="s">
        <v>51</v>
      </c>
      <c r="K7" s="1043"/>
      <c r="L7" s="1043" t="s">
        <v>50</v>
      </c>
      <c r="M7" s="1043"/>
      <c r="N7" s="1018"/>
    </row>
    <row r="8" spans="1:15" ht="66.75" customHeight="1">
      <c r="A8" s="1092"/>
      <c r="B8" s="543" t="s">
        <v>630</v>
      </c>
      <c r="C8" s="543" t="s">
        <v>631</v>
      </c>
      <c r="D8" s="543" t="s">
        <v>630</v>
      </c>
      <c r="E8" s="543" t="s">
        <v>631</v>
      </c>
      <c r="F8" s="543" t="s">
        <v>630</v>
      </c>
      <c r="G8" s="543" t="s">
        <v>631</v>
      </c>
      <c r="H8" s="543" t="s">
        <v>630</v>
      </c>
      <c r="I8" s="543" t="s">
        <v>631</v>
      </c>
      <c r="J8" s="543" t="s">
        <v>630</v>
      </c>
      <c r="K8" s="543" t="s">
        <v>631</v>
      </c>
      <c r="L8" s="543" t="s">
        <v>630</v>
      </c>
      <c r="M8" s="543" t="s">
        <v>631</v>
      </c>
      <c r="N8" s="1144"/>
    </row>
    <row r="9" spans="1:15" ht="24.75" customHeight="1" thickBot="1">
      <c r="A9" s="736">
        <v>2010</v>
      </c>
      <c r="B9" s="740">
        <v>820</v>
      </c>
      <c r="C9" s="741">
        <v>11.4</v>
      </c>
      <c r="D9" s="740">
        <v>716</v>
      </c>
      <c r="E9" s="741">
        <v>9.5</v>
      </c>
      <c r="F9" s="740">
        <v>352</v>
      </c>
      <c r="G9" s="741">
        <v>0.3</v>
      </c>
      <c r="H9" s="740">
        <v>456</v>
      </c>
      <c r="I9" s="741">
        <v>2</v>
      </c>
      <c r="J9" s="742">
        <f>B9+F9</f>
        <v>1172</v>
      </c>
      <c r="K9" s="743">
        <v>1</v>
      </c>
      <c r="L9" s="742">
        <f>D9+H9</f>
        <v>1172</v>
      </c>
      <c r="M9" s="743">
        <v>3.8</v>
      </c>
      <c r="N9" s="738">
        <v>2010</v>
      </c>
    </row>
    <row r="10" spans="1:15" ht="24.95" customHeight="1" thickBot="1">
      <c r="A10" s="19">
        <v>2011</v>
      </c>
      <c r="B10" s="34">
        <v>754</v>
      </c>
      <c r="C10" s="38">
        <v>10</v>
      </c>
      <c r="D10" s="34">
        <v>697</v>
      </c>
      <c r="E10" s="38">
        <v>8.8000000000000007</v>
      </c>
      <c r="F10" s="34">
        <v>354</v>
      </c>
      <c r="G10" s="38">
        <v>0.3</v>
      </c>
      <c r="H10" s="34">
        <v>411</v>
      </c>
      <c r="I10" s="38">
        <v>1.7</v>
      </c>
      <c r="J10" s="567">
        <f>B10+F10</f>
        <v>1108</v>
      </c>
      <c r="K10" s="476">
        <v>0.95748937299136794</v>
      </c>
      <c r="L10" s="567">
        <f>D10+H10</f>
        <v>1108</v>
      </c>
      <c r="M10" s="476">
        <v>3.475304324370101</v>
      </c>
      <c r="N10" s="17">
        <v>2011</v>
      </c>
    </row>
    <row r="11" spans="1:15" ht="24.75" customHeight="1" thickBot="1">
      <c r="A11" s="736">
        <v>2012</v>
      </c>
      <c r="B11" s="740">
        <v>835</v>
      </c>
      <c r="C11" s="741">
        <v>10.7</v>
      </c>
      <c r="D11" s="740">
        <v>767</v>
      </c>
      <c r="E11" s="741">
        <v>9.3000000000000007</v>
      </c>
      <c r="F11" s="740">
        <v>585</v>
      </c>
      <c r="G11" s="741">
        <v>0.5</v>
      </c>
      <c r="H11" s="740">
        <v>653</v>
      </c>
      <c r="I11" s="741">
        <v>2.5</v>
      </c>
      <c r="J11" s="742">
        <f>B11+F11</f>
        <v>1420</v>
      </c>
      <c r="K11" s="743">
        <v>1.2</v>
      </c>
      <c r="L11" s="742">
        <f>D11+H11</f>
        <v>1420</v>
      </c>
      <c r="M11" s="743">
        <v>4.0999999999999996</v>
      </c>
      <c r="N11" s="738">
        <v>2012</v>
      </c>
    </row>
    <row r="12" spans="1:15" ht="24.95" customHeight="1" thickBot="1">
      <c r="A12" s="19">
        <v>2013</v>
      </c>
      <c r="B12" s="34">
        <v>816</v>
      </c>
      <c r="C12" s="38">
        <v>10.1</v>
      </c>
      <c r="D12" s="34">
        <v>728</v>
      </c>
      <c r="E12" s="38">
        <v>8.5</v>
      </c>
      <c r="F12" s="34">
        <v>509</v>
      </c>
      <c r="G12" s="38">
        <v>0.4</v>
      </c>
      <c r="H12" s="34">
        <v>597</v>
      </c>
      <c r="I12" s="38">
        <v>2</v>
      </c>
      <c r="J12" s="567">
        <f t="shared" ref="J12:L18" si="0">B12+F12</f>
        <v>1325</v>
      </c>
      <c r="K12" s="476">
        <v>1</v>
      </c>
      <c r="L12" s="567">
        <f t="shared" si="0"/>
        <v>1325</v>
      </c>
      <c r="M12" s="476">
        <v>3.5</v>
      </c>
      <c r="N12" s="17">
        <v>2013</v>
      </c>
    </row>
    <row r="13" spans="1:15" ht="24.75" customHeight="1" thickBot="1">
      <c r="A13" s="736">
        <v>2014</v>
      </c>
      <c r="B13" s="740">
        <v>803</v>
      </c>
      <c r="C13" s="741">
        <v>9.664917432959415</v>
      </c>
      <c r="D13" s="740">
        <v>710</v>
      </c>
      <c r="E13" s="741">
        <v>8.0363105411493052</v>
      </c>
      <c r="F13" s="740">
        <v>512</v>
      </c>
      <c r="G13" s="741">
        <v>0.36468379350919827</v>
      </c>
      <c r="H13" s="740">
        <v>605</v>
      </c>
      <c r="I13" s="741">
        <v>1.8986229491733928</v>
      </c>
      <c r="J13" s="742">
        <f t="shared" si="0"/>
        <v>1315</v>
      </c>
      <c r="K13" s="743">
        <v>0.88430707983645362</v>
      </c>
      <c r="L13" s="742">
        <f t="shared" si="0"/>
        <v>1315</v>
      </c>
      <c r="M13" s="743">
        <v>3.2309502925054239</v>
      </c>
      <c r="N13" s="738">
        <v>2014</v>
      </c>
    </row>
    <row r="14" spans="1:15" ht="24.95" customHeight="1" thickBot="1">
      <c r="A14" s="19">
        <v>2015</v>
      </c>
      <c r="B14" s="34">
        <v>807</v>
      </c>
      <c r="C14" s="38">
        <v>9.3944262066075286</v>
      </c>
      <c r="D14" s="34">
        <v>706</v>
      </c>
      <c r="E14" s="38">
        <v>7.881487435390782</v>
      </c>
      <c r="F14" s="34">
        <v>500</v>
      </c>
      <c r="G14" s="38">
        <v>0.3160582229816048</v>
      </c>
      <c r="H14" s="34">
        <v>601</v>
      </c>
      <c r="I14" s="38">
        <v>1.7525493615296459</v>
      </c>
      <c r="J14" s="567">
        <f t="shared" si="0"/>
        <v>1307</v>
      </c>
      <c r="K14" s="476">
        <v>0.78362528921289132</v>
      </c>
      <c r="L14" s="567">
        <f t="shared" si="0"/>
        <v>1307</v>
      </c>
      <c r="M14" s="476">
        <v>3.0219233952823776</v>
      </c>
      <c r="N14" s="17">
        <v>2015</v>
      </c>
    </row>
    <row r="15" spans="1:15" ht="24.75" customHeight="1" thickBot="1">
      <c r="A15" s="736">
        <v>2016</v>
      </c>
      <c r="B15" s="740">
        <v>730</v>
      </c>
      <c r="C15" s="741">
        <v>8.2712985938792389</v>
      </c>
      <c r="D15" s="740">
        <v>645</v>
      </c>
      <c r="E15" s="741">
        <v>6.8372625508819542</v>
      </c>
      <c r="F15" s="740">
        <v>421</v>
      </c>
      <c r="G15" s="741">
        <v>0.24697630024809092</v>
      </c>
      <c r="H15" s="740">
        <v>506</v>
      </c>
      <c r="I15" s="741">
        <v>1.3583272709701839</v>
      </c>
      <c r="J15" s="742">
        <f t="shared" si="0"/>
        <v>1151</v>
      </c>
      <c r="K15" s="743">
        <v>0.64198599566952286</v>
      </c>
      <c r="L15" s="742">
        <f t="shared" si="0"/>
        <v>1151</v>
      </c>
      <c r="M15" s="743">
        <v>2.4654441547981913</v>
      </c>
      <c r="N15" s="738">
        <v>2016</v>
      </c>
    </row>
    <row r="16" spans="1:15" ht="24.95" customHeight="1" thickBot="1">
      <c r="A16" s="19">
        <v>2017</v>
      </c>
      <c r="B16" s="34">
        <v>786</v>
      </c>
      <c r="C16" s="38">
        <v>8.631007939209594</v>
      </c>
      <c r="D16" s="34">
        <v>673</v>
      </c>
      <c r="E16" s="38">
        <v>6.8837837284945689</v>
      </c>
      <c r="F16" s="34">
        <v>420</v>
      </c>
      <c r="G16" s="38">
        <v>0.2</v>
      </c>
      <c r="H16" s="34">
        <v>533</v>
      </c>
      <c r="I16" s="38">
        <v>1.3437878176684146</v>
      </c>
      <c r="J16" s="567">
        <f t="shared" si="0"/>
        <v>1206</v>
      </c>
      <c r="K16" s="476">
        <v>0.64914093786332516</v>
      </c>
      <c r="L16" s="567">
        <f t="shared" si="0"/>
        <v>1206</v>
      </c>
      <c r="M16" s="476">
        <v>2.4392907853060035</v>
      </c>
      <c r="N16" s="17">
        <v>2017</v>
      </c>
    </row>
    <row r="17" spans="1:14" ht="24.75" customHeight="1" thickBot="1">
      <c r="A17" s="736">
        <v>2018</v>
      </c>
      <c r="B17" s="740">
        <v>799</v>
      </c>
      <c r="C17" s="741">
        <v>8.5308562887038235</v>
      </c>
      <c r="D17" s="740">
        <v>641</v>
      </c>
      <c r="E17" s="741">
        <v>6.3788076306859454</v>
      </c>
      <c r="F17" s="740">
        <v>383</v>
      </c>
      <c r="G17" s="741">
        <v>0.21781226629966532</v>
      </c>
      <c r="H17" s="740">
        <v>541</v>
      </c>
      <c r="I17" s="741">
        <v>1.2807552905136514</v>
      </c>
      <c r="J17" s="742">
        <f t="shared" si="0"/>
        <v>1182</v>
      </c>
      <c r="K17" s="743">
        <v>0.63820998836427645</v>
      </c>
      <c r="L17" s="742">
        <f t="shared" si="0"/>
        <v>1182</v>
      </c>
      <c r="M17" s="743">
        <v>2.2604877451730365</v>
      </c>
      <c r="N17" s="738">
        <v>2018</v>
      </c>
    </row>
    <row r="18" spans="1:14" ht="24.95" customHeight="1">
      <c r="A18" s="14">
        <v>2019</v>
      </c>
      <c r="B18" s="582">
        <v>1115</v>
      </c>
      <c r="C18" s="583">
        <f>+B18/96576*1000</f>
        <v>11.545311464546057</v>
      </c>
      <c r="D18" s="582">
        <v>992</v>
      </c>
      <c r="E18" s="583">
        <f>+D18/103513*1000</f>
        <v>9.5833373585926402</v>
      </c>
      <c r="F18" s="582">
        <v>718</v>
      </c>
      <c r="G18" s="583">
        <f>+F18/1764547*1000</f>
        <v>0.40690330152724752</v>
      </c>
      <c r="H18" s="582">
        <v>841</v>
      </c>
      <c r="I18" s="583">
        <f>+H18/436131*1000</f>
        <v>1.9283197021078529</v>
      </c>
      <c r="J18" s="605">
        <f t="shared" si="0"/>
        <v>1833</v>
      </c>
      <c r="K18" s="606">
        <f>+J18/1861123*1000</f>
        <v>0.98488923085685365</v>
      </c>
      <c r="L18" s="605">
        <f t="shared" si="0"/>
        <v>1833</v>
      </c>
      <c r="M18" s="606">
        <f>+L18/539644*1000</f>
        <v>3.3966837396505842</v>
      </c>
      <c r="N18" s="733">
        <v>2019</v>
      </c>
    </row>
  </sheetData>
  <mergeCells count="15">
    <mergeCell ref="A1:N1"/>
    <mergeCell ref="A2:N2"/>
    <mergeCell ref="A3:N3"/>
    <mergeCell ref="A4:N4"/>
    <mergeCell ref="F6:I6"/>
    <mergeCell ref="J6:M6"/>
    <mergeCell ref="N6:N8"/>
    <mergeCell ref="B7:C7"/>
    <mergeCell ref="D7:E7"/>
    <mergeCell ref="F7:G7"/>
    <mergeCell ref="H7:I7"/>
    <mergeCell ref="J7:K7"/>
    <mergeCell ref="L7:M7"/>
    <mergeCell ref="A6:A8"/>
    <mergeCell ref="B6:E6"/>
  </mergeCells>
  <printOptions horizontalCentered="1" verticalCentered="1"/>
  <pageMargins left="0" right="0" top="0" bottom="0" header="0" footer="0"/>
  <pageSetup paperSize="9" scale="84" orientation="landscape" r:id="rId1"/>
  <headerFooter alignWithMargins="0"/>
  <colBreaks count="1" manualBreakCount="1">
    <brk id="14"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M34"/>
  <sheetViews>
    <sheetView rightToLeft="1" view="pageBreakPreview" topLeftCell="A4" zoomScaleNormal="100" zoomScaleSheetLayoutView="100" workbookViewId="0">
      <selection activeCell="M18" sqref="M18"/>
    </sheetView>
  </sheetViews>
  <sheetFormatPr defaultColWidth="9.140625" defaultRowHeight="12.75"/>
  <cols>
    <col min="1" max="16384" width="9.140625" style="1"/>
  </cols>
  <sheetData>
    <row r="1" ht="37.5" customHeight="1"/>
    <row r="34" spans="1:13" ht="15.75">
      <c r="A34" s="1038" t="s">
        <v>294</v>
      </c>
      <c r="B34" s="1038"/>
      <c r="C34" s="1038"/>
      <c r="D34" s="1038"/>
      <c r="E34" s="1038"/>
      <c r="F34" s="1038"/>
      <c r="G34" s="1038"/>
      <c r="H34" s="1038"/>
      <c r="I34" s="1038"/>
      <c r="J34" s="1038"/>
      <c r="K34" s="1038"/>
      <c r="L34" s="1038"/>
      <c r="M34" s="1038"/>
    </row>
  </sheetData>
  <mergeCells count="1">
    <mergeCell ref="A34:M34"/>
  </mergeCells>
  <printOptions horizontalCentered="1" verticalCentered="1"/>
  <pageMargins left="0" right="0" top="0" bottom="0" header="0" footer="0"/>
  <pageSetup paperSize="9" scale="11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Y31"/>
  <sheetViews>
    <sheetView rightToLeft="1" view="pageBreakPreview" zoomScale="90" zoomScaleNormal="100" zoomScaleSheetLayoutView="90" workbookViewId="0">
      <selection activeCell="M18" sqref="M18"/>
    </sheetView>
  </sheetViews>
  <sheetFormatPr defaultColWidth="9.140625" defaultRowHeight="15"/>
  <cols>
    <col min="1" max="1" width="10.42578125" style="518" customWidth="1"/>
    <col min="2" max="2" width="7.42578125" style="518" bestFit="1" customWidth="1"/>
    <col min="3" max="3" width="6.140625" style="518" customWidth="1"/>
    <col min="4" max="6" width="6.85546875" style="518" customWidth="1"/>
    <col min="7" max="7" width="6.140625" style="518" customWidth="1"/>
    <col min="8" max="8" width="6.85546875" style="518" customWidth="1"/>
    <col min="9" max="9" width="6.140625" style="518" customWidth="1"/>
    <col min="10" max="10" width="6.85546875" style="518" customWidth="1"/>
    <col min="11" max="11" width="6.140625" style="518" customWidth="1"/>
    <col min="12" max="12" width="6.85546875" style="518" customWidth="1"/>
    <col min="13" max="13" width="6.140625" style="518" customWidth="1"/>
    <col min="14" max="14" width="6.85546875" style="518" customWidth="1"/>
    <col min="15" max="15" width="6.140625" style="518" customWidth="1"/>
    <col min="16" max="16" width="6.85546875" style="518" customWidth="1"/>
    <col min="17" max="17" width="6.140625" style="518" customWidth="1"/>
    <col min="18" max="18" width="6.85546875" style="518" customWidth="1"/>
    <col min="19" max="19" width="6.140625" style="518" customWidth="1"/>
    <col min="20" max="20" width="7.42578125" style="518" customWidth="1"/>
    <col min="21" max="23" width="7" style="518" customWidth="1"/>
    <col min="24" max="24" width="9.5703125" style="518" bestFit="1" customWidth="1"/>
    <col min="25" max="25" width="15.42578125" style="518" customWidth="1"/>
    <col min="26" max="16384" width="9.140625" style="518"/>
  </cols>
  <sheetData>
    <row r="1" spans="1:25" s="515" customFormat="1" ht="22.5" customHeight="1">
      <c r="A1" s="1048" t="s">
        <v>667</v>
      </c>
      <c r="B1" s="1048"/>
      <c r="C1" s="1048"/>
      <c r="D1" s="1048"/>
      <c r="E1" s="1048"/>
      <c r="F1" s="1048"/>
      <c r="G1" s="1048"/>
      <c r="H1" s="1048"/>
      <c r="I1" s="1048"/>
      <c r="J1" s="1048"/>
      <c r="K1" s="1048"/>
      <c r="L1" s="1048"/>
      <c r="M1" s="1048"/>
      <c r="N1" s="1048"/>
      <c r="O1" s="1048"/>
      <c r="P1" s="1048"/>
      <c r="Q1" s="1048"/>
      <c r="R1" s="1048"/>
      <c r="S1" s="1048"/>
      <c r="T1" s="1048"/>
      <c r="U1" s="1048"/>
      <c r="V1" s="1048"/>
      <c r="W1" s="1048"/>
      <c r="X1" s="1048"/>
      <c r="Y1" s="1048"/>
    </row>
    <row r="2" spans="1:25" s="515" customFormat="1" ht="18">
      <c r="A2" s="1049" t="s">
        <v>670</v>
      </c>
      <c r="B2" s="1049"/>
      <c r="C2" s="1049"/>
      <c r="D2" s="1049"/>
      <c r="E2" s="1049"/>
      <c r="F2" s="1049"/>
      <c r="G2" s="1049"/>
      <c r="H2" s="1049"/>
      <c r="I2" s="1049"/>
      <c r="J2" s="1049"/>
      <c r="K2" s="1049"/>
      <c r="L2" s="1049"/>
      <c r="M2" s="1049"/>
      <c r="N2" s="1049"/>
      <c r="O2" s="1049"/>
      <c r="P2" s="1049"/>
      <c r="Q2" s="1049"/>
      <c r="R2" s="1049"/>
      <c r="S2" s="1049"/>
      <c r="T2" s="1049"/>
      <c r="U2" s="1049"/>
      <c r="V2" s="1049"/>
      <c r="W2" s="1049"/>
      <c r="X2" s="1049"/>
      <c r="Y2" s="1049"/>
    </row>
    <row r="3" spans="1:25" s="514" customFormat="1" ht="15.75">
      <c r="A3" s="1050">
        <v>2019</v>
      </c>
      <c r="B3" s="1050"/>
      <c r="C3" s="1050"/>
      <c r="D3" s="1050"/>
      <c r="E3" s="1050"/>
      <c r="F3" s="1050"/>
      <c r="G3" s="1050"/>
      <c r="H3" s="1050"/>
      <c r="I3" s="1050"/>
      <c r="J3" s="1050"/>
      <c r="K3" s="1050"/>
      <c r="L3" s="1050"/>
      <c r="M3" s="1050"/>
      <c r="N3" s="1050"/>
      <c r="O3" s="1050"/>
      <c r="P3" s="1050"/>
      <c r="Q3" s="1050"/>
      <c r="R3" s="1050"/>
      <c r="S3" s="1050"/>
      <c r="T3" s="1050"/>
      <c r="U3" s="1050"/>
      <c r="V3" s="1050"/>
      <c r="W3" s="1050"/>
      <c r="X3" s="1050"/>
      <c r="Y3" s="1050"/>
    </row>
    <row r="4" spans="1:25" s="514" customFormat="1" ht="15.75">
      <c r="A4" s="550"/>
      <c r="B4" s="550"/>
      <c r="C4" s="550"/>
      <c r="D4" s="550"/>
      <c r="E4" s="550"/>
      <c r="F4" s="550"/>
      <c r="G4" s="550"/>
      <c r="H4" s="550"/>
      <c r="I4" s="550"/>
      <c r="J4" s="550"/>
      <c r="K4" s="550"/>
      <c r="L4" s="550"/>
      <c r="M4" s="550"/>
      <c r="N4" s="550"/>
      <c r="O4" s="550"/>
      <c r="P4" s="550"/>
      <c r="Q4" s="550"/>
      <c r="R4" s="550"/>
      <c r="S4" s="550"/>
      <c r="T4" s="550"/>
      <c r="U4" s="550"/>
      <c r="V4" s="550"/>
      <c r="W4" s="550"/>
      <c r="X4" s="550"/>
      <c r="Y4" s="550"/>
    </row>
    <row r="5" spans="1:25" s="517" customFormat="1" ht="15.75">
      <c r="A5" s="516" t="s">
        <v>671</v>
      </c>
      <c r="B5" s="516"/>
      <c r="C5" s="516"/>
      <c r="D5" s="516"/>
      <c r="E5" s="516"/>
      <c r="F5" s="516"/>
      <c r="G5" s="516"/>
      <c r="H5" s="516"/>
      <c r="I5" s="516"/>
      <c r="J5" s="516"/>
      <c r="K5" s="516"/>
      <c r="L5" s="516"/>
      <c r="M5" s="516"/>
      <c r="O5" s="521"/>
      <c r="P5" s="521"/>
      <c r="Q5" s="521"/>
      <c r="R5" s="521"/>
      <c r="S5" s="521"/>
      <c r="T5" s="521"/>
      <c r="U5" s="522"/>
      <c r="V5" s="522"/>
      <c r="W5" s="522"/>
      <c r="X5" s="522"/>
      <c r="Y5" s="549" t="s">
        <v>672</v>
      </c>
    </row>
    <row r="6" spans="1:25" ht="25.9" customHeight="1">
      <c r="A6" s="1051" t="s">
        <v>1257</v>
      </c>
      <c r="B6" s="1052"/>
      <c r="C6" s="1057" t="s">
        <v>597</v>
      </c>
      <c r="D6" s="1057"/>
      <c r="E6" s="1057"/>
      <c r="F6" s="1057"/>
      <c r="G6" s="1057"/>
      <c r="H6" s="1057"/>
      <c r="I6" s="1057"/>
      <c r="J6" s="1057"/>
      <c r="K6" s="1057"/>
      <c r="L6" s="1057"/>
      <c r="M6" s="1057"/>
      <c r="N6" s="1058" t="s">
        <v>685</v>
      </c>
      <c r="O6" s="1058"/>
      <c r="P6" s="1058"/>
      <c r="Q6" s="1058"/>
      <c r="R6" s="1058"/>
      <c r="S6" s="1058"/>
      <c r="T6" s="1058"/>
      <c r="U6" s="1058"/>
      <c r="V6" s="1058"/>
      <c r="W6" s="1058"/>
      <c r="X6" s="1059" t="s">
        <v>684</v>
      </c>
      <c r="Y6" s="1060"/>
    </row>
    <row r="7" spans="1:25" s="519" customFormat="1" ht="34.9" customHeight="1">
      <c r="A7" s="1053"/>
      <c r="B7" s="1054"/>
      <c r="C7" s="1065" t="s">
        <v>675</v>
      </c>
      <c r="D7" s="1066"/>
      <c r="E7" s="1066" t="s">
        <v>676</v>
      </c>
      <c r="F7" s="1066"/>
      <c r="G7" s="1066" t="s">
        <v>677</v>
      </c>
      <c r="H7" s="1066"/>
      <c r="I7" s="1066" t="s">
        <v>678</v>
      </c>
      <c r="J7" s="1066"/>
      <c r="K7" s="1066" t="s">
        <v>679</v>
      </c>
      <c r="L7" s="1066"/>
      <c r="M7" s="1066" t="s">
        <v>680</v>
      </c>
      <c r="N7" s="1066"/>
      <c r="O7" s="1066" t="s">
        <v>681</v>
      </c>
      <c r="P7" s="1066"/>
      <c r="Q7" s="1066" t="s">
        <v>682</v>
      </c>
      <c r="R7" s="1066"/>
      <c r="S7" s="1066" t="s">
        <v>683</v>
      </c>
      <c r="T7" s="1066"/>
      <c r="U7" s="1066" t="s">
        <v>461</v>
      </c>
      <c r="V7" s="1066"/>
      <c r="W7" s="1067"/>
      <c r="X7" s="1061"/>
      <c r="Y7" s="1062"/>
    </row>
    <row r="8" spans="1:25" s="519" customFormat="1" ht="25.5">
      <c r="A8" s="1053"/>
      <c r="B8" s="1054"/>
      <c r="C8" s="547" t="s">
        <v>673</v>
      </c>
      <c r="D8" s="547" t="s">
        <v>674</v>
      </c>
      <c r="E8" s="547" t="s">
        <v>673</v>
      </c>
      <c r="F8" s="547" t="s">
        <v>674</v>
      </c>
      <c r="G8" s="547" t="s">
        <v>673</v>
      </c>
      <c r="H8" s="547" t="s">
        <v>674</v>
      </c>
      <c r="I8" s="547" t="s">
        <v>673</v>
      </c>
      <c r="J8" s="547" t="s">
        <v>674</v>
      </c>
      <c r="K8" s="547" t="s">
        <v>673</v>
      </c>
      <c r="L8" s="547" t="s">
        <v>674</v>
      </c>
      <c r="M8" s="547" t="s">
        <v>673</v>
      </c>
      <c r="N8" s="547" t="s">
        <v>674</v>
      </c>
      <c r="O8" s="547" t="s">
        <v>673</v>
      </c>
      <c r="P8" s="547" t="s">
        <v>674</v>
      </c>
      <c r="Q8" s="547" t="s">
        <v>673</v>
      </c>
      <c r="R8" s="547" t="s">
        <v>674</v>
      </c>
      <c r="S8" s="547" t="s">
        <v>673</v>
      </c>
      <c r="T8" s="547" t="s">
        <v>674</v>
      </c>
      <c r="U8" s="547" t="s">
        <v>673</v>
      </c>
      <c r="V8" s="547" t="s">
        <v>674</v>
      </c>
      <c r="W8" s="547" t="s">
        <v>17</v>
      </c>
      <c r="X8" s="1061"/>
      <c r="Y8" s="1062"/>
    </row>
    <row r="9" spans="1:25" ht="22.5">
      <c r="A9" s="1055"/>
      <c r="B9" s="1056"/>
      <c r="C9" s="548" t="s">
        <v>592</v>
      </c>
      <c r="D9" s="548" t="s">
        <v>594</v>
      </c>
      <c r="E9" s="548" t="s">
        <v>592</v>
      </c>
      <c r="F9" s="548" t="s">
        <v>594</v>
      </c>
      <c r="G9" s="548" t="s">
        <v>592</v>
      </c>
      <c r="H9" s="548" t="s">
        <v>594</v>
      </c>
      <c r="I9" s="548" t="s">
        <v>592</v>
      </c>
      <c r="J9" s="548" t="s">
        <v>594</v>
      </c>
      <c r="K9" s="548" t="s">
        <v>592</v>
      </c>
      <c r="L9" s="548" t="s">
        <v>594</v>
      </c>
      <c r="M9" s="548" t="s">
        <v>592</v>
      </c>
      <c r="N9" s="548" t="s">
        <v>594</v>
      </c>
      <c r="O9" s="548" t="s">
        <v>592</v>
      </c>
      <c r="P9" s="548" t="s">
        <v>594</v>
      </c>
      <c r="Q9" s="548" t="s">
        <v>592</v>
      </c>
      <c r="R9" s="548" t="s">
        <v>594</v>
      </c>
      <c r="S9" s="548" t="s">
        <v>592</v>
      </c>
      <c r="T9" s="548" t="s">
        <v>594</v>
      </c>
      <c r="U9" s="548" t="s">
        <v>592</v>
      </c>
      <c r="V9" s="548" t="s">
        <v>594</v>
      </c>
      <c r="W9" s="548" t="s">
        <v>56</v>
      </c>
      <c r="X9" s="1063"/>
      <c r="Y9" s="1064"/>
    </row>
    <row r="10" spans="1:25" ht="21.6" customHeight="1" thickBot="1">
      <c r="A10" s="1068" t="s">
        <v>442</v>
      </c>
      <c r="B10" s="525" t="s">
        <v>591</v>
      </c>
      <c r="C10" s="791">
        <v>118</v>
      </c>
      <c r="D10" s="791">
        <v>30</v>
      </c>
      <c r="E10" s="791">
        <v>78</v>
      </c>
      <c r="F10" s="791">
        <v>9</v>
      </c>
      <c r="G10" s="791">
        <v>14</v>
      </c>
      <c r="H10" s="791">
        <v>2</v>
      </c>
      <c r="I10" s="791">
        <v>11</v>
      </c>
      <c r="J10" s="791">
        <v>4</v>
      </c>
      <c r="K10" s="791">
        <v>4</v>
      </c>
      <c r="L10" s="791" t="s">
        <v>557</v>
      </c>
      <c r="M10" s="791" t="s">
        <v>557</v>
      </c>
      <c r="N10" s="791" t="s">
        <v>557</v>
      </c>
      <c r="O10" s="791">
        <v>12</v>
      </c>
      <c r="P10" s="791">
        <v>1</v>
      </c>
      <c r="Q10" s="791">
        <v>4</v>
      </c>
      <c r="R10" s="791" t="s">
        <v>557</v>
      </c>
      <c r="S10" s="791">
        <v>0</v>
      </c>
      <c r="T10" s="791">
        <v>7</v>
      </c>
      <c r="U10" s="792">
        <f>C10+E10+G10+I10+K10+M10+O10+Q10+S10</f>
        <v>241</v>
      </c>
      <c r="V10" s="792">
        <f>D10+F10+H10+J10+L10+N10+P10+R10+T10</f>
        <v>53</v>
      </c>
      <c r="W10" s="792">
        <f>V10+U10</f>
        <v>294</v>
      </c>
      <c r="X10" s="534" t="s">
        <v>592</v>
      </c>
      <c r="Y10" s="1070" t="s">
        <v>63</v>
      </c>
    </row>
    <row r="11" spans="1:25" ht="21.6" customHeight="1" thickBot="1">
      <c r="A11" s="1069"/>
      <c r="B11" s="526" t="s">
        <v>593</v>
      </c>
      <c r="C11" s="793">
        <v>12</v>
      </c>
      <c r="D11" s="793">
        <v>295</v>
      </c>
      <c r="E11" s="793">
        <v>12</v>
      </c>
      <c r="F11" s="793">
        <v>66</v>
      </c>
      <c r="G11" s="793">
        <v>2</v>
      </c>
      <c r="H11" s="793">
        <v>11</v>
      </c>
      <c r="I11" s="793">
        <v>1</v>
      </c>
      <c r="J11" s="793">
        <v>5</v>
      </c>
      <c r="K11" s="793">
        <v>2</v>
      </c>
      <c r="L11" s="793">
        <v>4</v>
      </c>
      <c r="M11" s="793" t="s">
        <v>557</v>
      </c>
      <c r="N11" s="793" t="s">
        <v>557</v>
      </c>
      <c r="O11" s="793" t="s">
        <v>557</v>
      </c>
      <c r="P11" s="793">
        <v>4</v>
      </c>
      <c r="Q11" s="793" t="s">
        <v>557</v>
      </c>
      <c r="R11" s="793">
        <v>2</v>
      </c>
      <c r="S11" s="793">
        <v>0</v>
      </c>
      <c r="T11" s="793">
        <v>4</v>
      </c>
      <c r="U11" s="794">
        <f>C11+E11+G11+I11+K11+M11+O11+Q11+S11</f>
        <v>29</v>
      </c>
      <c r="V11" s="794">
        <f t="shared" ref="U11:V27" si="0">D11+F11+H11+J11+L11+N11+P11+R11+T11</f>
        <v>391</v>
      </c>
      <c r="W11" s="794">
        <f t="shared" ref="W11:W27" si="1">V11+U11</f>
        <v>420</v>
      </c>
      <c r="X11" s="535" t="s">
        <v>594</v>
      </c>
      <c r="Y11" s="1071"/>
    </row>
    <row r="12" spans="1:25" ht="21.6" customHeight="1" thickBot="1">
      <c r="A12" s="1072" t="s">
        <v>443</v>
      </c>
      <c r="B12" s="527" t="s">
        <v>591</v>
      </c>
      <c r="C12" s="795">
        <v>88</v>
      </c>
      <c r="D12" s="795">
        <v>35</v>
      </c>
      <c r="E12" s="795">
        <v>279</v>
      </c>
      <c r="F12" s="795">
        <v>23</v>
      </c>
      <c r="G12" s="795">
        <v>6</v>
      </c>
      <c r="H12" s="795">
        <v>3</v>
      </c>
      <c r="I12" s="795">
        <v>19</v>
      </c>
      <c r="J12" s="795">
        <v>4</v>
      </c>
      <c r="K12" s="795">
        <v>8</v>
      </c>
      <c r="L12" s="795">
        <v>2</v>
      </c>
      <c r="M12" s="795">
        <v>1</v>
      </c>
      <c r="N12" s="795" t="s">
        <v>557</v>
      </c>
      <c r="O12" s="795">
        <v>7</v>
      </c>
      <c r="P12" s="795">
        <v>1</v>
      </c>
      <c r="Q12" s="795">
        <v>29</v>
      </c>
      <c r="R12" s="795">
        <v>1</v>
      </c>
      <c r="S12" s="795">
        <v>0</v>
      </c>
      <c r="T12" s="795">
        <v>24</v>
      </c>
      <c r="U12" s="796">
        <f t="shared" si="0"/>
        <v>437</v>
      </c>
      <c r="V12" s="796">
        <f t="shared" si="0"/>
        <v>93</v>
      </c>
      <c r="W12" s="796">
        <f t="shared" si="1"/>
        <v>530</v>
      </c>
      <c r="X12" s="536" t="s">
        <v>592</v>
      </c>
      <c r="Y12" s="1073" t="s">
        <v>62</v>
      </c>
    </row>
    <row r="13" spans="1:25" ht="21.6" customHeight="1" thickBot="1">
      <c r="A13" s="1072"/>
      <c r="B13" s="527" t="s">
        <v>593</v>
      </c>
      <c r="C13" s="795">
        <v>1</v>
      </c>
      <c r="D13" s="795">
        <v>68</v>
      </c>
      <c r="E13" s="795">
        <v>4</v>
      </c>
      <c r="F13" s="795">
        <v>78</v>
      </c>
      <c r="G13" s="795">
        <v>1</v>
      </c>
      <c r="H13" s="795">
        <v>3</v>
      </c>
      <c r="I13" s="795" t="s">
        <v>557</v>
      </c>
      <c r="J13" s="795">
        <v>7</v>
      </c>
      <c r="K13" s="795">
        <v>1</v>
      </c>
      <c r="L13" s="795">
        <v>2</v>
      </c>
      <c r="M13" s="795" t="s">
        <v>557</v>
      </c>
      <c r="N13" s="795" t="s">
        <v>557</v>
      </c>
      <c r="O13" s="795">
        <v>1</v>
      </c>
      <c r="P13" s="795">
        <v>1</v>
      </c>
      <c r="Q13" s="795" t="s">
        <v>557</v>
      </c>
      <c r="R13" s="795" t="s">
        <v>557</v>
      </c>
      <c r="S13" s="795">
        <v>0</v>
      </c>
      <c r="T13" s="795">
        <v>5</v>
      </c>
      <c r="U13" s="796">
        <f t="shared" si="0"/>
        <v>8</v>
      </c>
      <c r="V13" s="796">
        <f t="shared" si="0"/>
        <v>164</v>
      </c>
      <c r="W13" s="796">
        <f t="shared" si="1"/>
        <v>172</v>
      </c>
      <c r="X13" s="536" t="s">
        <v>594</v>
      </c>
      <c r="Y13" s="1073"/>
    </row>
    <row r="14" spans="1:25" ht="21.6" customHeight="1" thickBot="1">
      <c r="A14" s="1069" t="s">
        <v>444</v>
      </c>
      <c r="B14" s="526" t="s">
        <v>591</v>
      </c>
      <c r="C14" s="793">
        <v>7</v>
      </c>
      <c r="D14" s="793">
        <v>3</v>
      </c>
      <c r="E14" s="793">
        <v>30</v>
      </c>
      <c r="F14" s="793">
        <v>2</v>
      </c>
      <c r="G14" s="793">
        <v>1</v>
      </c>
      <c r="H14" s="793" t="s">
        <v>557</v>
      </c>
      <c r="I14" s="793">
        <v>5</v>
      </c>
      <c r="J14" s="793" t="s">
        <v>557</v>
      </c>
      <c r="K14" s="793" t="s">
        <v>557</v>
      </c>
      <c r="L14" s="793" t="s">
        <v>557</v>
      </c>
      <c r="M14" s="793">
        <v>2</v>
      </c>
      <c r="N14" s="793" t="s">
        <v>557</v>
      </c>
      <c r="O14" s="793" t="s">
        <v>557</v>
      </c>
      <c r="P14" s="793" t="s">
        <v>557</v>
      </c>
      <c r="Q14" s="793">
        <v>29</v>
      </c>
      <c r="R14" s="793">
        <v>1</v>
      </c>
      <c r="S14" s="793">
        <v>0</v>
      </c>
      <c r="T14" s="793">
        <v>3</v>
      </c>
      <c r="U14" s="794">
        <f t="shared" si="0"/>
        <v>74</v>
      </c>
      <c r="V14" s="794">
        <f t="shared" si="0"/>
        <v>9</v>
      </c>
      <c r="W14" s="794">
        <f t="shared" si="1"/>
        <v>83</v>
      </c>
      <c r="X14" s="535" t="s">
        <v>592</v>
      </c>
      <c r="Y14" s="1071" t="s">
        <v>61</v>
      </c>
    </row>
    <row r="15" spans="1:25" ht="21.6" customHeight="1" thickBot="1">
      <c r="A15" s="1069"/>
      <c r="B15" s="526" t="s">
        <v>593</v>
      </c>
      <c r="C15" s="793" t="s">
        <v>557</v>
      </c>
      <c r="D15" s="793">
        <v>1</v>
      </c>
      <c r="E15" s="793">
        <v>1</v>
      </c>
      <c r="F15" s="793">
        <v>1</v>
      </c>
      <c r="G15" s="793" t="s">
        <v>557</v>
      </c>
      <c r="H15" s="793" t="s">
        <v>557</v>
      </c>
      <c r="I15" s="793" t="s">
        <v>557</v>
      </c>
      <c r="J15" s="793" t="s">
        <v>557</v>
      </c>
      <c r="K15" s="793" t="s">
        <v>557</v>
      </c>
      <c r="L15" s="793">
        <v>1</v>
      </c>
      <c r="M15" s="793" t="s">
        <v>557</v>
      </c>
      <c r="N15" s="793" t="s">
        <v>557</v>
      </c>
      <c r="O15" s="793" t="s">
        <v>557</v>
      </c>
      <c r="P15" s="793" t="s">
        <v>557</v>
      </c>
      <c r="Q15" s="793">
        <v>1</v>
      </c>
      <c r="R15" s="793">
        <v>1</v>
      </c>
      <c r="S15" s="793">
        <v>0</v>
      </c>
      <c r="T15" s="793" t="s">
        <v>557</v>
      </c>
      <c r="U15" s="794">
        <f t="shared" si="0"/>
        <v>2</v>
      </c>
      <c r="V15" s="794">
        <f t="shared" si="0"/>
        <v>4</v>
      </c>
      <c r="W15" s="794">
        <f t="shared" si="1"/>
        <v>6</v>
      </c>
      <c r="X15" s="535" t="s">
        <v>594</v>
      </c>
      <c r="Y15" s="1071"/>
    </row>
    <row r="16" spans="1:25" ht="21.6" customHeight="1" thickBot="1">
      <c r="A16" s="1072" t="s">
        <v>740</v>
      </c>
      <c r="B16" s="527" t="s">
        <v>591</v>
      </c>
      <c r="C16" s="795">
        <v>15</v>
      </c>
      <c r="D16" s="795">
        <v>3</v>
      </c>
      <c r="E16" s="795">
        <v>14</v>
      </c>
      <c r="F16" s="795">
        <v>2</v>
      </c>
      <c r="G16" s="795">
        <v>23</v>
      </c>
      <c r="H16" s="795">
        <v>2</v>
      </c>
      <c r="I16" s="795">
        <v>3</v>
      </c>
      <c r="J16" s="795" t="s">
        <v>557</v>
      </c>
      <c r="K16" s="795" t="s">
        <v>557</v>
      </c>
      <c r="L16" s="795" t="s">
        <v>557</v>
      </c>
      <c r="M16" s="795" t="s">
        <v>557</v>
      </c>
      <c r="N16" s="795" t="s">
        <v>557</v>
      </c>
      <c r="O16" s="795" t="s">
        <v>557</v>
      </c>
      <c r="P16" s="795" t="s">
        <v>557</v>
      </c>
      <c r="Q16" s="795" t="s">
        <v>557</v>
      </c>
      <c r="R16" s="795" t="s">
        <v>557</v>
      </c>
      <c r="S16" s="795">
        <v>0</v>
      </c>
      <c r="T16" s="795">
        <v>3</v>
      </c>
      <c r="U16" s="796">
        <f t="shared" si="0"/>
        <v>55</v>
      </c>
      <c r="V16" s="796">
        <f t="shared" si="0"/>
        <v>10</v>
      </c>
      <c r="W16" s="796">
        <f t="shared" si="1"/>
        <v>65</v>
      </c>
      <c r="X16" s="536" t="s">
        <v>592</v>
      </c>
      <c r="Y16" s="1073" t="s">
        <v>60</v>
      </c>
    </row>
    <row r="17" spans="1:25" ht="21.6" customHeight="1" thickBot="1">
      <c r="A17" s="1072"/>
      <c r="B17" s="527" t="s">
        <v>593</v>
      </c>
      <c r="C17" s="795">
        <v>1</v>
      </c>
      <c r="D17" s="795">
        <v>15</v>
      </c>
      <c r="E17" s="795">
        <v>1</v>
      </c>
      <c r="F17" s="795">
        <v>9</v>
      </c>
      <c r="G17" s="795">
        <v>1</v>
      </c>
      <c r="H17" s="795">
        <v>12</v>
      </c>
      <c r="I17" s="795">
        <v>1</v>
      </c>
      <c r="J17" s="795">
        <v>2</v>
      </c>
      <c r="K17" s="795" t="s">
        <v>557</v>
      </c>
      <c r="L17" s="795" t="s">
        <v>557</v>
      </c>
      <c r="M17" s="795" t="s">
        <v>557</v>
      </c>
      <c r="N17" s="795" t="s">
        <v>557</v>
      </c>
      <c r="O17" s="795" t="s">
        <v>557</v>
      </c>
      <c r="P17" s="795" t="s">
        <v>557</v>
      </c>
      <c r="Q17" s="795" t="s">
        <v>557</v>
      </c>
      <c r="R17" s="795" t="s">
        <v>557</v>
      </c>
      <c r="S17" s="795">
        <v>0</v>
      </c>
      <c r="T17" s="795" t="s">
        <v>557</v>
      </c>
      <c r="U17" s="796">
        <f t="shared" si="0"/>
        <v>4</v>
      </c>
      <c r="V17" s="796">
        <f t="shared" si="0"/>
        <v>38</v>
      </c>
      <c r="W17" s="796">
        <f t="shared" si="1"/>
        <v>42</v>
      </c>
      <c r="X17" s="536" t="s">
        <v>594</v>
      </c>
      <c r="Y17" s="1073"/>
    </row>
    <row r="18" spans="1:25" ht="21.6" customHeight="1" thickBot="1">
      <c r="A18" s="1069" t="s">
        <v>446</v>
      </c>
      <c r="B18" s="526" t="s">
        <v>591</v>
      </c>
      <c r="C18" s="793">
        <v>12</v>
      </c>
      <c r="D18" s="793">
        <v>5</v>
      </c>
      <c r="E18" s="793">
        <v>16</v>
      </c>
      <c r="F18" s="793">
        <v>4</v>
      </c>
      <c r="G18" s="793" t="s">
        <v>557</v>
      </c>
      <c r="H18" s="793">
        <v>2</v>
      </c>
      <c r="I18" s="793">
        <v>17</v>
      </c>
      <c r="J18" s="793">
        <v>4</v>
      </c>
      <c r="K18" s="793">
        <v>1</v>
      </c>
      <c r="L18" s="793" t="s">
        <v>557</v>
      </c>
      <c r="M18" s="793" t="s">
        <v>557</v>
      </c>
      <c r="N18" s="793" t="s">
        <v>557</v>
      </c>
      <c r="O18" s="793">
        <v>2</v>
      </c>
      <c r="P18" s="793" t="s">
        <v>557</v>
      </c>
      <c r="Q18" s="793">
        <v>1</v>
      </c>
      <c r="R18" s="793" t="s">
        <v>557</v>
      </c>
      <c r="S18" s="793">
        <v>0</v>
      </c>
      <c r="T18" s="793">
        <v>1</v>
      </c>
      <c r="U18" s="794">
        <f t="shared" si="0"/>
        <v>49</v>
      </c>
      <c r="V18" s="794">
        <f t="shared" si="0"/>
        <v>16</v>
      </c>
      <c r="W18" s="794">
        <f t="shared" si="1"/>
        <v>65</v>
      </c>
      <c r="X18" s="535" t="s">
        <v>592</v>
      </c>
      <c r="Y18" s="1071" t="s">
        <v>59</v>
      </c>
    </row>
    <row r="19" spans="1:25" ht="21.6" customHeight="1" thickBot="1">
      <c r="A19" s="1069"/>
      <c r="B19" s="526" t="s">
        <v>593</v>
      </c>
      <c r="C19" s="793">
        <v>1</v>
      </c>
      <c r="D19" s="793">
        <v>7</v>
      </c>
      <c r="E19" s="793">
        <v>3</v>
      </c>
      <c r="F19" s="793">
        <v>4</v>
      </c>
      <c r="G19" s="793" t="s">
        <v>557</v>
      </c>
      <c r="H19" s="793">
        <v>1</v>
      </c>
      <c r="I19" s="793">
        <v>2</v>
      </c>
      <c r="J19" s="793">
        <v>8</v>
      </c>
      <c r="K19" s="793" t="s">
        <v>557</v>
      </c>
      <c r="L19" s="793">
        <v>1</v>
      </c>
      <c r="M19" s="793" t="s">
        <v>557</v>
      </c>
      <c r="N19" s="793" t="s">
        <v>557</v>
      </c>
      <c r="O19" s="793" t="s">
        <v>557</v>
      </c>
      <c r="P19" s="793" t="s">
        <v>557</v>
      </c>
      <c r="Q19" s="793" t="s">
        <v>557</v>
      </c>
      <c r="R19" s="793" t="s">
        <v>557</v>
      </c>
      <c r="S19" s="793">
        <v>0</v>
      </c>
      <c r="T19" s="793">
        <v>3</v>
      </c>
      <c r="U19" s="794">
        <f t="shared" si="0"/>
        <v>6</v>
      </c>
      <c r="V19" s="794">
        <f t="shared" si="0"/>
        <v>24</v>
      </c>
      <c r="W19" s="794">
        <f t="shared" si="1"/>
        <v>30</v>
      </c>
      <c r="X19" s="535" t="s">
        <v>594</v>
      </c>
      <c r="Y19" s="1071"/>
    </row>
    <row r="20" spans="1:25" ht="21.6" customHeight="1" thickBot="1">
      <c r="A20" s="1072" t="s">
        <v>447</v>
      </c>
      <c r="B20" s="527" t="s">
        <v>591</v>
      </c>
      <c r="C20" s="795">
        <v>6</v>
      </c>
      <c r="D20" s="795" t="s">
        <v>557</v>
      </c>
      <c r="E20" s="795">
        <v>9</v>
      </c>
      <c r="F20" s="795">
        <v>1</v>
      </c>
      <c r="G20" s="795" t="s">
        <v>557</v>
      </c>
      <c r="H20" s="795" t="s">
        <v>557</v>
      </c>
      <c r="I20" s="795">
        <v>4</v>
      </c>
      <c r="J20" s="795" t="s">
        <v>557</v>
      </c>
      <c r="K20" s="795">
        <v>8</v>
      </c>
      <c r="L20" s="795">
        <v>1</v>
      </c>
      <c r="M20" s="795" t="s">
        <v>557</v>
      </c>
      <c r="N20" s="795" t="s">
        <v>557</v>
      </c>
      <c r="O20" s="795" t="s">
        <v>557</v>
      </c>
      <c r="P20" s="795" t="s">
        <v>557</v>
      </c>
      <c r="Q20" s="795" t="s">
        <v>557</v>
      </c>
      <c r="R20" s="795" t="s">
        <v>557</v>
      </c>
      <c r="S20" s="795">
        <v>0</v>
      </c>
      <c r="T20" s="795">
        <v>1</v>
      </c>
      <c r="U20" s="796">
        <f t="shared" si="0"/>
        <v>27</v>
      </c>
      <c r="V20" s="796">
        <f t="shared" si="0"/>
        <v>3</v>
      </c>
      <c r="W20" s="796">
        <f t="shared" si="1"/>
        <v>30</v>
      </c>
      <c r="X20" s="536" t="s">
        <v>592</v>
      </c>
      <c r="Y20" s="1073" t="s">
        <v>58</v>
      </c>
    </row>
    <row r="21" spans="1:25" ht="21.6" customHeight="1" thickBot="1">
      <c r="A21" s="1072"/>
      <c r="B21" s="527" t="s">
        <v>593</v>
      </c>
      <c r="C21" s="795" t="s">
        <v>557</v>
      </c>
      <c r="D21" s="795">
        <v>3</v>
      </c>
      <c r="E21" s="795" t="s">
        <v>557</v>
      </c>
      <c r="F21" s="795">
        <v>1</v>
      </c>
      <c r="G21" s="795" t="s">
        <v>557</v>
      </c>
      <c r="H21" s="795" t="s">
        <v>557</v>
      </c>
      <c r="I21" s="795" t="s">
        <v>557</v>
      </c>
      <c r="J21" s="795">
        <v>1</v>
      </c>
      <c r="K21" s="795" t="s">
        <v>557</v>
      </c>
      <c r="L21" s="795">
        <v>4</v>
      </c>
      <c r="M21" s="795" t="s">
        <v>557</v>
      </c>
      <c r="N21" s="795" t="s">
        <v>557</v>
      </c>
      <c r="O21" s="795" t="s">
        <v>557</v>
      </c>
      <c r="P21" s="795" t="s">
        <v>557</v>
      </c>
      <c r="Q21" s="795" t="s">
        <v>557</v>
      </c>
      <c r="R21" s="795" t="s">
        <v>557</v>
      </c>
      <c r="S21" s="795" t="s">
        <v>557</v>
      </c>
      <c r="T21" s="795" t="s">
        <v>557</v>
      </c>
      <c r="U21" s="796">
        <f t="shared" si="0"/>
        <v>0</v>
      </c>
      <c r="V21" s="796">
        <f t="shared" si="0"/>
        <v>9</v>
      </c>
      <c r="W21" s="796">
        <f t="shared" si="1"/>
        <v>9</v>
      </c>
      <c r="X21" s="536" t="s">
        <v>594</v>
      </c>
      <c r="Y21" s="1073"/>
    </row>
    <row r="22" spans="1:25" ht="21.6" customHeight="1" thickBot="1">
      <c r="A22" s="1069" t="s">
        <v>549</v>
      </c>
      <c r="B22" s="526" t="s">
        <v>591</v>
      </c>
      <c r="C22" s="793">
        <v>1</v>
      </c>
      <c r="D22" s="793" t="s">
        <v>557</v>
      </c>
      <c r="E22" s="793">
        <v>2</v>
      </c>
      <c r="F22" s="793" t="s">
        <v>557</v>
      </c>
      <c r="G22" s="793" t="s">
        <v>557</v>
      </c>
      <c r="H22" s="793" t="s">
        <v>557</v>
      </c>
      <c r="I22" s="793" t="s">
        <v>557</v>
      </c>
      <c r="J22" s="793" t="s">
        <v>557</v>
      </c>
      <c r="K22" s="793" t="s">
        <v>557</v>
      </c>
      <c r="L22" s="793" t="s">
        <v>557</v>
      </c>
      <c r="M22" s="793">
        <v>1</v>
      </c>
      <c r="N22" s="793" t="s">
        <v>557</v>
      </c>
      <c r="O22" s="793" t="s">
        <v>557</v>
      </c>
      <c r="P22" s="793" t="s">
        <v>557</v>
      </c>
      <c r="Q22" s="793" t="s">
        <v>557</v>
      </c>
      <c r="R22" s="793" t="s">
        <v>557</v>
      </c>
      <c r="S22" s="793">
        <v>0</v>
      </c>
      <c r="T22" s="793">
        <v>1</v>
      </c>
      <c r="U22" s="794">
        <f t="shared" si="0"/>
        <v>4</v>
      </c>
      <c r="V22" s="794">
        <f t="shared" si="0"/>
        <v>1</v>
      </c>
      <c r="W22" s="794">
        <f t="shared" si="1"/>
        <v>5</v>
      </c>
      <c r="X22" s="535" t="s">
        <v>592</v>
      </c>
      <c r="Y22" s="1071" t="s">
        <v>57</v>
      </c>
    </row>
    <row r="23" spans="1:25" ht="21.6" customHeight="1" thickBot="1">
      <c r="A23" s="1069"/>
      <c r="B23" s="526" t="s">
        <v>593</v>
      </c>
      <c r="C23" s="793" t="s">
        <v>557</v>
      </c>
      <c r="D23" s="793">
        <v>1</v>
      </c>
      <c r="E23" s="793" t="s">
        <v>557</v>
      </c>
      <c r="F23" s="793" t="s">
        <v>557</v>
      </c>
      <c r="G23" s="793" t="s">
        <v>557</v>
      </c>
      <c r="H23" s="793" t="s">
        <v>557</v>
      </c>
      <c r="I23" s="793" t="s">
        <v>557</v>
      </c>
      <c r="J23" s="793" t="s">
        <v>557</v>
      </c>
      <c r="K23" s="793" t="s">
        <v>557</v>
      </c>
      <c r="L23" s="793" t="s">
        <v>557</v>
      </c>
      <c r="M23" s="793" t="s">
        <v>557</v>
      </c>
      <c r="N23" s="793">
        <v>1</v>
      </c>
      <c r="O23" s="793" t="s">
        <v>557</v>
      </c>
      <c r="P23" s="793" t="s">
        <v>557</v>
      </c>
      <c r="Q23" s="793" t="s">
        <v>557</v>
      </c>
      <c r="R23" s="793" t="s">
        <v>557</v>
      </c>
      <c r="S23" s="793" t="s">
        <v>557</v>
      </c>
      <c r="T23" s="793" t="s">
        <v>557</v>
      </c>
      <c r="U23" s="794">
        <f t="shared" si="0"/>
        <v>0</v>
      </c>
      <c r="V23" s="794">
        <f t="shared" si="0"/>
        <v>2</v>
      </c>
      <c r="W23" s="794">
        <f t="shared" si="1"/>
        <v>2</v>
      </c>
      <c r="X23" s="535" t="s">
        <v>594</v>
      </c>
      <c r="Y23" s="1071"/>
    </row>
    <row r="24" spans="1:25" ht="21.6" customHeight="1" thickBot="1">
      <c r="A24" s="1072" t="s">
        <v>579</v>
      </c>
      <c r="B24" s="527" t="s">
        <v>591</v>
      </c>
      <c r="C24" s="795">
        <v>13</v>
      </c>
      <c r="D24" s="795">
        <v>4</v>
      </c>
      <c r="E24" s="795">
        <v>4</v>
      </c>
      <c r="F24" s="795">
        <v>1</v>
      </c>
      <c r="G24" s="795">
        <v>1</v>
      </c>
      <c r="H24" s="795" t="s">
        <v>557</v>
      </c>
      <c r="I24" s="795">
        <v>6</v>
      </c>
      <c r="J24" s="795">
        <v>1</v>
      </c>
      <c r="K24" s="795">
        <v>1</v>
      </c>
      <c r="L24" s="795" t="s">
        <v>557</v>
      </c>
      <c r="M24" s="795" t="s">
        <v>557</v>
      </c>
      <c r="N24" s="795" t="s">
        <v>557</v>
      </c>
      <c r="O24" s="795">
        <v>8</v>
      </c>
      <c r="P24" s="795" t="s">
        <v>557</v>
      </c>
      <c r="Q24" s="795">
        <v>3</v>
      </c>
      <c r="R24" s="795" t="s">
        <v>557</v>
      </c>
      <c r="S24" s="795" t="s">
        <v>557</v>
      </c>
      <c r="T24" s="795" t="s">
        <v>557</v>
      </c>
      <c r="U24" s="796">
        <f t="shared" si="0"/>
        <v>36</v>
      </c>
      <c r="V24" s="796">
        <f t="shared" si="0"/>
        <v>6</v>
      </c>
      <c r="W24" s="796">
        <f t="shared" si="1"/>
        <v>42</v>
      </c>
      <c r="X24" s="536" t="s">
        <v>592</v>
      </c>
      <c r="Y24" s="1073" t="s">
        <v>595</v>
      </c>
    </row>
    <row r="25" spans="1:25" ht="21.6" customHeight="1" thickBot="1">
      <c r="A25" s="1072"/>
      <c r="B25" s="527" t="s">
        <v>593</v>
      </c>
      <c r="C25" s="795" t="s">
        <v>557</v>
      </c>
      <c r="D25" s="795">
        <v>3</v>
      </c>
      <c r="E25" s="795">
        <v>1</v>
      </c>
      <c r="F25" s="795">
        <v>1</v>
      </c>
      <c r="G25" s="795" t="s">
        <v>557</v>
      </c>
      <c r="H25" s="795" t="s">
        <v>557</v>
      </c>
      <c r="I25" s="795" t="s">
        <v>557</v>
      </c>
      <c r="J25" s="795">
        <v>1</v>
      </c>
      <c r="K25" s="795" t="s">
        <v>557</v>
      </c>
      <c r="L25" s="795">
        <v>1</v>
      </c>
      <c r="M25" s="795" t="s">
        <v>557</v>
      </c>
      <c r="N25" s="795" t="s">
        <v>557</v>
      </c>
      <c r="O25" s="795" t="s">
        <v>557</v>
      </c>
      <c r="P25" s="795">
        <v>4</v>
      </c>
      <c r="Q25" s="795" t="s">
        <v>557</v>
      </c>
      <c r="R25" s="795" t="s">
        <v>557</v>
      </c>
      <c r="S25" s="795" t="s">
        <v>557</v>
      </c>
      <c r="T25" s="795" t="s">
        <v>557</v>
      </c>
      <c r="U25" s="796">
        <f t="shared" si="0"/>
        <v>1</v>
      </c>
      <c r="V25" s="796">
        <f t="shared" si="0"/>
        <v>10</v>
      </c>
      <c r="W25" s="796">
        <f t="shared" si="1"/>
        <v>11</v>
      </c>
      <c r="X25" s="536" t="s">
        <v>594</v>
      </c>
      <c r="Y25" s="1073"/>
    </row>
    <row r="26" spans="1:25" ht="21.6" customHeight="1" thickBot="1">
      <c r="A26" s="1069" t="s">
        <v>586</v>
      </c>
      <c r="B26" s="526" t="s">
        <v>591</v>
      </c>
      <c r="C26" s="793" t="s">
        <v>557</v>
      </c>
      <c r="D26" s="793">
        <v>1</v>
      </c>
      <c r="E26" s="793" t="s">
        <v>557</v>
      </c>
      <c r="F26" s="793" t="s">
        <v>557</v>
      </c>
      <c r="G26" s="793" t="s">
        <v>557</v>
      </c>
      <c r="H26" s="793" t="s">
        <v>557</v>
      </c>
      <c r="I26" s="793" t="s">
        <v>557</v>
      </c>
      <c r="J26" s="793" t="s">
        <v>557</v>
      </c>
      <c r="K26" s="793" t="s">
        <v>557</v>
      </c>
      <c r="L26" s="793" t="s">
        <v>557</v>
      </c>
      <c r="M26" s="793" t="s">
        <v>557</v>
      </c>
      <c r="N26" s="793" t="s">
        <v>557</v>
      </c>
      <c r="O26" s="793" t="s">
        <v>557</v>
      </c>
      <c r="P26" s="793" t="s">
        <v>557</v>
      </c>
      <c r="Q26" s="793" t="s">
        <v>557</v>
      </c>
      <c r="R26" s="793" t="s">
        <v>557</v>
      </c>
      <c r="S26" s="793" t="s">
        <v>557</v>
      </c>
      <c r="T26" s="793" t="s">
        <v>557</v>
      </c>
      <c r="U26" s="794">
        <f t="shared" si="0"/>
        <v>0</v>
      </c>
      <c r="V26" s="794">
        <f t="shared" si="0"/>
        <v>1</v>
      </c>
      <c r="W26" s="794">
        <f t="shared" si="1"/>
        <v>1</v>
      </c>
      <c r="X26" s="535" t="s">
        <v>592</v>
      </c>
      <c r="Y26" s="1071" t="s">
        <v>596</v>
      </c>
    </row>
    <row r="27" spans="1:25" ht="21.6" customHeight="1">
      <c r="A27" s="1074"/>
      <c r="B27" s="528" t="s">
        <v>593</v>
      </c>
      <c r="C27" s="797">
        <v>2</v>
      </c>
      <c r="D27" s="797">
        <v>4</v>
      </c>
      <c r="E27" s="797">
        <v>6</v>
      </c>
      <c r="F27" s="797">
        <v>1</v>
      </c>
      <c r="G27" s="797">
        <v>1</v>
      </c>
      <c r="H27" s="797" t="s">
        <v>557</v>
      </c>
      <c r="I27" s="797">
        <v>2</v>
      </c>
      <c r="J27" s="797">
        <v>1</v>
      </c>
      <c r="K27" s="797">
        <v>3</v>
      </c>
      <c r="L27" s="797" t="s">
        <v>557</v>
      </c>
      <c r="M27" s="797" t="s">
        <v>557</v>
      </c>
      <c r="N27" s="797">
        <v>1</v>
      </c>
      <c r="O27" s="797" t="s">
        <v>557</v>
      </c>
      <c r="P27" s="797" t="s">
        <v>557</v>
      </c>
      <c r="Q27" s="797">
        <v>5</v>
      </c>
      <c r="R27" s="797" t="s">
        <v>557</v>
      </c>
      <c r="S27" s="797" t="s">
        <v>557</v>
      </c>
      <c r="T27" s="797" t="s">
        <v>557</v>
      </c>
      <c r="U27" s="798">
        <f t="shared" si="0"/>
        <v>19</v>
      </c>
      <c r="V27" s="798">
        <f>D27+F27+H27+J27+L27+N27+P27+R27+T27</f>
        <v>7</v>
      </c>
      <c r="W27" s="798">
        <f t="shared" si="1"/>
        <v>26</v>
      </c>
      <c r="X27" s="537" t="s">
        <v>594</v>
      </c>
      <c r="Y27" s="1075"/>
    </row>
    <row r="28" spans="1:25" ht="21.6" customHeight="1" thickBot="1">
      <c r="A28" s="1076" t="s">
        <v>17</v>
      </c>
      <c r="B28" s="529" t="s">
        <v>591</v>
      </c>
      <c r="C28" s="799">
        <f>C10+C12+C14+C16+C18+C20+C22+C24+C26</f>
        <v>260</v>
      </c>
      <c r="D28" s="799">
        <f t="shared" ref="D28:V29" si="2">D10+D12+D14+D16+D18+D20+D22+D24+D26</f>
        <v>81</v>
      </c>
      <c r="E28" s="799">
        <f t="shared" si="2"/>
        <v>432</v>
      </c>
      <c r="F28" s="799">
        <f t="shared" si="2"/>
        <v>42</v>
      </c>
      <c r="G28" s="799">
        <f t="shared" si="2"/>
        <v>45</v>
      </c>
      <c r="H28" s="799">
        <f t="shared" si="2"/>
        <v>9</v>
      </c>
      <c r="I28" s="799">
        <f t="shared" si="2"/>
        <v>65</v>
      </c>
      <c r="J28" s="799">
        <f t="shared" si="2"/>
        <v>13</v>
      </c>
      <c r="K28" s="799">
        <f t="shared" si="2"/>
        <v>22</v>
      </c>
      <c r="L28" s="799">
        <f t="shared" si="2"/>
        <v>3</v>
      </c>
      <c r="M28" s="799">
        <f t="shared" si="2"/>
        <v>4</v>
      </c>
      <c r="N28" s="799">
        <f t="shared" si="2"/>
        <v>0</v>
      </c>
      <c r="O28" s="799">
        <f t="shared" si="2"/>
        <v>29</v>
      </c>
      <c r="P28" s="799">
        <f t="shared" si="2"/>
        <v>2</v>
      </c>
      <c r="Q28" s="799">
        <f t="shared" si="2"/>
        <v>66</v>
      </c>
      <c r="R28" s="799">
        <f t="shared" si="2"/>
        <v>2</v>
      </c>
      <c r="S28" s="799">
        <f t="shared" si="2"/>
        <v>0</v>
      </c>
      <c r="T28" s="799">
        <f t="shared" si="2"/>
        <v>40</v>
      </c>
      <c r="U28" s="799">
        <f t="shared" si="2"/>
        <v>923</v>
      </c>
      <c r="V28" s="799">
        <f t="shared" si="2"/>
        <v>192</v>
      </c>
      <c r="W28" s="799">
        <f>W10+W12+W14+W16+W18+W20+W22+W24+W26</f>
        <v>1115</v>
      </c>
      <c r="X28" s="523" t="s">
        <v>592</v>
      </c>
      <c r="Y28" s="1079" t="s">
        <v>56</v>
      </c>
    </row>
    <row r="29" spans="1:25" ht="21.6" customHeight="1" thickBot="1">
      <c r="A29" s="1077"/>
      <c r="B29" s="527" t="s">
        <v>593</v>
      </c>
      <c r="C29" s="796">
        <f>C11+C13+C15+C17+C19+C21+C23+C25+C27</f>
        <v>17</v>
      </c>
      <c r="D29" s="796">
        <f t="shared" si="2"/>
        <v>397</v>
      </c>
      <c r="E29" s="796">
        <f t="shared" si="2"/>
        <v>28</v>
      </c>
      <c r="F29" s="796">
        <f>F11+F13+F15+F17+F19+F21+F23+F25+F27</f>
        <v>161</v>
      </c>
      <c r="G29" s="796">
        <f t="shared" si="2"/>
        <v>5</v>
      </c>
      <c r="H29" s="796">
        <f t="shared" si="2"/>
        <v>27</v>
      </c>
      <c r="I29" s="796">
        <f t="shared" si="2"/>
        <v>6</v>
      </c>
      <c r="J29" s="796">
        <f t="shared" si="2"/>
        <v>25</v>
      </c>
      <c r="K29" s="796">
        <f t="shared" si="2"/>
        <v>6</v>
      </c>
      <c r="L29" s="796">
        <f t="shared" si="2"/>
        <v>13</v>
      </c>
      <c r="M29" s="796">
        <f t="shared" si="2"/>
        <v>0</v>
      </c>
      <c r="N29" s="796">
        <f t="shared" si="2"/>
        <v>2</v>
      </c>
      <c r="O29" s="796">
        <f t="shared" si="2"/>
        <v>1</v>
      </c>
      <c r="P29" s="796">
        <f t="shared" si="2"/>
        <v>9</v>
      </c>
      <c r="Q29" s="796">
        <f t="shared" si="2"/>
        <v>6</v>
      </c>
      <c r="R29" s="796">
        <f t="shared" si="2"/>
        <v>3</v>
      </c>
      <c r="S29" s="796">
        <f t="shared" si="2"/>
        <v>0</v>
      </c>
      <c r="T29" s="796">
        <f t="shared" si="2"/>
        <v>12</v>
      </c>
      <c r="U29" s="796">
        <f t="shared" si="2"/>
        <v>69</v>
      </c>
      <c r="V29" s="796">
        <f t="shared" si="2"/>
        <v>649</v>
      </c>
      <c r="W29" s="796">
        <f>W11+W13+W15+W17+W19+W21+W23+W25+W27</f>
        <v>718</v>
      </c>
      <c r="X29" s="520" t="s">
        <v>594</v>
      </c>
      <c r="Y29" s="1080"/>
    </row>
    <row r="30" spans="1:25" ht="21.6" customHeight="1">
      <c r="A30" s="1078"/>
      <c r="B30" s="530" t="s">
        <v>17</v>
      </c>
      <c r="C30" s="800">
        <f t="shared" ref="C30:V30" si="3">C28+C29</f>
        <v>277</v>
      </c>
      <c r="D30" s="800">
        <f t="shared" si="3"/>
        <v>478</v>
      </c>
      <c r="E30" s="800">
        <f t="shared" si="3"/>
        <v>460</v>
      </c>
      <c r="F30" s="800">
        <f t="shared" si="3"/>
        <v>203</v>
      </c>
      <c r="G30" s="800">
        <f t="shared" si="3"/>
        <v>50</v>
      </c>
      <c r="H30" s="800">
        <f t="shared" si="3"/>
        <v>36</v>
      </c>
      <c r="I30" s="800">
        <f t="shared" si="3"/>
        <v>71</v>
      </c>
      <c r="J30" s="800">
        <f t="shared" si="3"/>
        <v>38</v>
      </c>
      <c r="K30" s="800">
        <f t="shared" si="3"/>
        <v>28</v>
      </c>
      <c r="L30" s="800">
        <f t="shared" si="3"/>
        <v>16</v>
      </c>
      <c r="M30" s="800">
        <f t="shared" si="3"/>
        <v>4</v>
      </c>
      <c r="N30" s="800">
        <f t="shared" si="3"/>
        <v>2</v>
      </c>
      <c r="O30" s="800">
        <f t="shared" si="3"/>
        <v>30</v>
      </c>
      <c r="P30" s="800">
        <f t="shared" si="3"/>
        <v>11</v>
      </c>
      <c r="Q30" s="800">
        <f t="shared" si="3"/>
        <v>72</v>
      </c>
      <c r="R30" s="800">
        <f t="shared" si="3"/>
        <v>5</v>
      </c>
      <c r="S30" s="800">
        <f t="shared" si="3"/>
        <v>0</v>
      </c>
      <c r="T30" s="800">
        <f t="shared" si="3"/>
        <v>52</v>
      </c>
      <c r="U30" s="800">
        <f t="shared" si="3"/>
        <v>992</v>
      </c>
      <c r="V30" s="800">
        <f t="shared" si="3"/>
        <v>841</v>
      </c>
      <c r="W30" s="800">
        <f>W28+W29</f>
        <v>1833</v>
      </c>
      <c r="X30" s="524" t="s">
        <v>56</v>
      </c>
      <c r="Y30" s="1081"/>
    </row>
    <row r="31" spans="1:25">
      <c r="A31" s="1145" t="s">
        <v>581</v>
      </c>
      <c r="B31" s="1145"/>
      <c r="C31" s="2"/>
      <c r="D31" s="2"/>
      <c r="U31" s="1146" t="s">
        <v>582</v>
      </c>
      <c r="V31" s="1146"/>
      <c r="W31" s="1146"/>
      <c r="X31" s="1146"/>
      <c r="Y31" s="1146"/>
    </row>
  </sheetData>
  <mergeCells count="39">
    <mergeCell ref="A28:A30"/>
    <mergeCell ref="Y28:Y30"/>
    <mergeCell ref="A31:B31"/>
    <mergeCell ref="U31:Y31"/>
    <mergeCell ref="A22:A23"/>
    <mergeCell ref="Y22:Y23"/>
    <mergeCell ref="A24:A25"/>
    <mergeCell ref="Y24:Y25"/>
    <mergeCell ref="A26:A27"/>
    <mergeCell ref="Y26:Y27"/>
    <mergeCell ref="A16:A17"/>
    <mergeCell ref="Y16:Y17"/>
    <mergeCell ref="A18:A19"/>
    <mergeCell ref="Y18:Y19"/>
    <mergeCell ref="A20:A21"/>
    <mergeCell ref="Y20:Y21"/>
    <mergeCell ref="A14:A15"/>
    <mergeCell ref="Y14:Y15"/>
    <mergeCell ref="I7:J7"/>
    <mergeCell ref="K7:L7"/>
    <mergeCell ref="M7:N7"/>
    <mergeCell ref="O7:P7"/>
    <mergeCell ref="Q7:R7"/>
    <mergeCell ref="S7:T7"/>
    <mergeCell ref="U7:W7"/>
    <mergeCell ref="A10:A11"/>
    <mergeCell ref="Y10:Y11"/>
    <mergeCell ref="A12:A13"/>
    <mergeCell ref="Y12:Y13"/>
    <mergeCell ref="A1:Y1"/>
    <mergeCell ref="A2:Y2"/>
    <mergeCell ref="A3:Y3"/>
    <mergeCell ref="A6:B9"/>
    <mergeCell ref="C6:M6"/>
    <mergeCell ref="N6:W6"/>
    <mergeCell ref="X6:Y9"/>
    <mergeCell ref="C7:D7"/>
    <mergeCell ref="E7:F7"/>
    <mergeCell ref="G7:H7"/>
  </mergeCells>
  <printOptions horizontalCentered="1" verticalCentered="1"/>
  <pageMargins left="0" right="0" top="0" bottom="0" header="0" footer="0"/>
  <pageSetup paperSize="9" scale="72" orientation="landscape" r:id="rId1"/>
  <headerFooter alignWithMargins="0"/>
  <colBreaks count="1" manualBreakCount="1">
    <brk id="25"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59:K59"/>
  <sheetViews>
    <sheetView rightToLeft="1" view="pageBreakPreview" zoomScaleNormal="100" zoomScaleSheetLayoutView="100" workbookViewId="0">
      <selection activeCell="M8" sqref="M8"/>
    </sheetView>
  </sheetViews>
  <sheetFormatPr defaultColWidth="9.140625" defaultRowHeight="12.75"/>
  <cols>
    <col min="1" max="10" width="9.140625" style="1"/>
    <col min="11" max="11" width="10.42578125" style="1" customWidth="1"/>
    <col min="12" max="16384" width="9.140625" style="1"/>
  </cols>
  <sheetData>
    <row r="59" spans="1:11">
      <c r="A59" s="1038" t="s">
        <v>296</v>
      </c>
      <c r="B59" s="1084"/>
      <c r="C59" s="1084"/>
      <c r="D59" s="1084"/>
      <c r="E59" s="1084"/>
      <c r="F59" s="1084"/>
      <c r="G59" s="1084"/>
      <c r="H59" s="1084"/>
      <c r="I59" s="1084"/>
      <c r="J59" s="1084"/>
      <c r="K59" s="1084"/>
    </row>
  </sheetData>
  <mergeCells count="1">
    <mergeCell ref="A59:K59"/>
  </mergeCells>
  <printOptions horizontalCentered="1" verticalCentered="1"/>
  <pageMargins left="0" right="0" top="0.19685039370078741" bottom="0" header="0" footer="0"/>
  <pageSetup scale="9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5"/>
  <sheetViews>
    <sheetView rightToLeft="1" view="pageBreakPreview" zoomScaleNormal="100" zoomScaleSheetLayoutView="100" workbookViewId="0">
      <selection activeCell="M18" sqref="M18"/>
    </sheetView>
  </sheetViews>
  <sheetFormatPr defaultColWidth="9.140625" defaultRowHeight="12.75"/>
  <cols>
    <col min="1" max="1" width="40.5703125" style="1" customWidth="1"/>
    <col min="2" max="2" width="3.5703125" style="1" customWidth="1"/>
    <col min="3" max="3" width="40.5703125" style="1" customWidth="1"/>
    <col min="4" max="16384" width="9.140625" style="1"/>
  </cols>
  <sheetData>
    <row r="1" spans="1:3" ht="66.75" customHeight="1">
      <c r="A1" s="683" t="s">
        <v>880</v>
      </c>
      <c r="B1" s="682"/>
      <c r="C1" s="681" t="s">
        <v>862</v>
      </c>
    </row>
    <row r="2" spans="1:3" ht="25.5" customHeight="1">
      <c r="A2" s="680"/>
      <c r="B2" s="679"/>
      <c r="C2" s="679"/>
    </row>
    <row r="3" spans="1:3" ht="206.25" customHeight="1">
      <c r="A3" s="678" t="s">
        <v>879</v>
      </c>
      <c r="B3" s="624"/>
      <c r="C3" s="627" t="s">
        <v>878</v>
      </c>
    </row>
    <row r="4" spans="1:3" ht="8.25" customHeight="1">
      <c r="A4" s="628"/>
      <c r="B4" s="626"/>
      <c r="C4" s="627"/>
    </row>
    <row r="5" spans="1:3" ht="60" customHeight="1">
      <c r="A5" s="678" t="s">
        <v>877</v>
      </c>
      <c r="B5" s="626"/>
      <c r="C5" s="627" t="s">
        <v>876</v>
      </c>
    </row>
  </sheetData>
  <pageMargins left="0.75" right="0.75" top="1" bottom="1" header="0.5" footer="0.5"/>
  <pageSetup paperSize="9" scale="93"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40"/>
  <sheetViews>
    <sheetView rightToLeft="1" view="pageBreakPreview" topLeftCell="A4" zoomScaleNormal="100" zoomScaleSheetLayoutView="100" workbookViewId="0">
      <selection activeCell="F7" sqref="F7"/>
    </sheetView>
  </sheetViews>
  <sheetFormatPr defaultColWidth="9.140625" defaultRowHeight="12.75"/>
  <cols>
    <col min="1" max="1" width="17.85546875" style="1" customWidth="1"/>
    <col min="2" max="6" width="13.5703125" style="1" customWidth="1"/>
    <col min="7" max="7" width="11.5703125" style="1" customWidth="1"/>
    <col min="8" max="8" width="20.5703125" style="1" customWidth="1"/>
    <col min="9" max="16384" width="9.140625" style="1"/>
  </cols>
  <sheetData>
    <row r="1" spans="1:9" ht="18">
      <c r="A1" s="1009" t="s">
        <v>301</v>
      </c>
      <c r="B1" s="1009"/>
      <c r="C1" s="1009"/>
      <c r="D1" s="1009"/>
      <c r="E1" s="1009"/>
      <c r="F1" s="1009"/>
      <c r="G1" s="1009"/>
      <c r="H1" s="1009"/>
    </row>
    <row r="2" spans="1:9" ht="36" customHeight="1">
      <c r="A2" s="1036" t="s">
        <v>300</v>
      </c>
      <c r="B2" s="1036"/>
      <c r="C2" s="1036"/>
      <c r="D2" s="1036"/>
      <c r="E2" s="1036"/>
      <c r="F2" s="1036"/>
      <c r="G2" s="1036"/>
      <c r="H2" s="1036"/>
    </row>
    <row r="3" spans="1:9" ht="15.75">
      <c r="A3" s="1037">
        <v>2019</v>
      </c>
      <c r="B3" s="1037"/>
      <c r="C3" s="1037"/>
      <c r="D3" s="1037"/>
      <c r="E3" s="1037"/>
      <c r="F3" s="1037"/>
      <c r="G3" s="1037"/>
      <c r="H3" s="1037"/>
    </row>
    <row r="4" spans="1:9" ht="15.75">
      <c r="A4" s="361"/>
      <c r="B4" s="361"/>
      <c r="C4" s="361"/>
      <c r="D4" s="361"/>
      <c r="E4" s="361"/>
      <c r="F4" s="361"/>
      <c r="G4" s="361"/>
      <c r="H4" s="361"/>
    </row>
    <row r="5" spans="1:9" s="31" customFormat="1" ht="20.25" customHeight="1">
      <c r="A5" s="362" t="s">
        <v>408</v>
      </c>
      <c r="B5" s="363"/>
      <c r="C5" s="364"/>
      <c r="D5" s="364"/>
      <c r="E5" s="364"/>
      <c r="F5" s="364"/>
      <c r="G5" s="369"/>
      <c r="H5" s="369" t="s">
        <v>409</v>
      </c>
      <c r="I5" s="32"/>
    </row>
    <row r="6" spans="1:9" ht="30.75" customHeight="1" thickBot="1">
      <c r="A6" s="1012" t="s">
        <v>93</v>
      </c>
      <c r="B6" s="1087" t="s">
        <v>601</v>
      </c>
      <c r="C6" s="1087"/>
      <c r="D6" s="1087"/>
      <c r="E6" s="1087" t="s">
        <v>600</v>
      </c>
      <c r="F6" s="1087"/>
      <c r="G6" s="1087"/>
      <c r="H6" s="1017" t="s">
        <v>92</v>
      </c>
    </row>
    <row r="7" spans="1:9" ht="30.75" customHeight="1">
      <c r="A7" s="1092"/>
      <c r="B7" s="511" t="s">
        <v>1286</v>
      </c>
      <c r="C7" s="511" t="s">
        <v>1287</v>
      </c>
      <c r="D7" s="511" t="s">
        <v>448</v>
      </c>
      <c r="E7" s="511" t="s">
        <v>1288</v>
      </c>
      <c r="F7" s="511" t="s">
        <v>1289</v>
      </c>
      <c r="G7" s="511" t="s">
        <v>448</v>
      </c>
      <c r="H7" s="1144"/>
    </row>
    <row r="8" spans="1:9" ht="21.75" customHeight="1" thickBot="1">
      <c r="A8" s="144" t="s">
        <v>91</v>
      </c>
      <c r="B8" s="740">
        <v>92</v>
      </c>
      <c r="C8" s="740">
        <v>46</v>
      </c>
      <c r="D8" s="801">
        <f>Table_Default__XLS_TAB_2377[[#This Row],[M_QTRI_COUNT]]+Table_Default__XLS_TAB_2377[[#This Row],[M_NQTRI_COUNT]]</f>
        <v>138</v>
      </c>
      <c r="E8" s="740">
        <v>84</v>
      </c>
      <c r="F8" s="740">
        <v>54</v>
      </c>
      <c r="G8" s="801">
        <f>Table_Default__XLS_TAB_2377[[#This Row],[W_QTRI_COUNT]]+Table_Default__XLS_TAB_2377[[#This Row],[W_NQTRI_COUNT]]</f>
        <v>138</v>
      </c>
      <c r="H8" s="145" t="s">
        <v>90</v>
      </c>
    </row>
    <row r="9" spans="1:9" ht="21.75" customHeight="1" thickBot="1">
      <c r="A9" s="45" t="s">
        <v>89</v>
      </c>
      <c r="B9" s="33">
        <v>55</v>
      </c>
      <c r="C9" s="33">
        <v>49</v>
      </c>
      <c r="D9" s="801">
        <f>Table_Default__XLS_TAB_2377[[#This Row],[M_QTRI_COUNT]]+Table_Default__XLS_TAB_2377[[#This Row],[M_NQTRI_COUNT]]</f>
        <v>104</v>
      </c>
      <c r="E9" s="33">
        <v>53</v>
      </c>
      <c r="F9" s="33">
        <v>51</v>
      </c>
      <c r="G9" s="801">
        <f>Table_Default__XLS_TAB_2377[[#This Row],[W_QTRI_COUNT]]+Table_Default__XLS_TAB_2377[[#This Row],[W_NQTRI_COUNT]]</f>
        <v>104</v>
      </c>
      <c r="H9" s="44" t="s">
        <v>88</v>
      </c>
    </row>
    <row r="10" spans="1:9" ht="21.75" customHeight="1" thickBot="1">
      <c r="A10" s="146" t="s">
        <v>87</v>
      </c>
      <c r="B10" s="33">
        <v>94</v>
      </c>
      <c r="C10" s="33">
        <v>56</v>
      </c>
      <c r="D10" s="801">
        <f>Table_Default__XLS_TAB_2377[[#This Row],[M_QTRI_COUNT]]+Table_Default__XLS_TAB_2377[[#This Row],[M_NQTRI_COUNT]]</f>
        <v>150</v>
      </c>
      <c r="E10" s="33">
        <v>83</v>
      </c>
      <c r="F10" s="33">
        <v>67</v>
      </c>
      <c r="G10" s="801">
        <f>Table_Default__XLS_TAB_2377[[#This Row],[W_QTRI_COUNT]]+Table_Default__XLS_TAB_2377[[#This Row],[W_NQTRI_COUNT]]</f>
        <v>150</v>
      </c>
      <c r="H10" s="43" t="s">
        <v>86</v>
      </c>
    </row>
    <row r="11" spans="1:9" ht="21.75" customHeight="1" thickBot="1">
      <c r="A11" s="45" t="s">
        <v>85</v>
      </c>
      <c r="B11" s="33">
        <v>135</v>
      </c>
      <c r="C11" s="33">
        <v>71</v>
      </c>
      <c r="D11" s="801">
        <f>Table_Default__XLS_TAB_2377[[#This Row],[M_QTRI_COUNT]]+Table_Default__XLS_TAB_2377[[#This Row],[M_NQTRI_COUNT]]</f>
        <v>206</v>
      </c>
      <c r="E11" s="33">
        <v>123</v>
      </c>
      <c r="F11" s="33">
        <v>83</v>
      </c>
      <c r="G11" s="801">
        <f>Table_Default__XLS_TAB_2377[[#This Row],[W_QTRI_COUNT]]+Table_Default__XLS_TAB_2377[[#This Row],[W_NQTRI_COUNT]]</f>
        <v>206</v>
      </c>
      <c r="H11" s="44" t="s">
        <v>84</v>
      </c>
    </row>
    <row r="12" spans="1:9" ht="21.75" customHeight="1" thickBot="1">
      <c r="A12" s="146" t="s">
        <v>83</v>
      </c>
      <c r="B12" s="33">
        <v>66</v>
      </c>
      <c r="C12" s="33">
        <v>52</v>
      </c>
      <c r="D12" s="801">
        <f>Table_Default__XLS_TAB_2377[[#This Row],[M_QTRI_COUNT]]+Table_Default__XLS_TAB_2377[[#This Row],[M_NQTRI_COUNT]]</f>
        <v>118</v>
      </c>
      <c r="E12" s="33">
        <v>61</v>
      </c>
      <c r="F12" s="33">
        <v>57</v>
      </c>
      <c r="G12" s="801">
        <f>Table_Default__XLS_TAB_2377[[#This Row],[W_QTRI_COUNT]]+Table_Default__XLS_TAB_2377[[#This Row],[W_NQTRI_COUNT]]</f>
        <v>118</v>
      </c>
      <c r="H12" s="43" t="s">
        <v>82</v>
      </c>
    </row>
    <row r="13" spans="1:9" ht="21.75" customHeight="1" thickBot="1">
      <c r="A13" s="45" t="s">
        <v>81</v>
      </c>
      <c r="B13" s="33">
        <v>65</v>
      </c>
      <c r="C13" s="33">
        <v>53</v>
      </c>
      <c r="D13" s="801">
        <f>Table_Default__XLS_TAB_2377[[#This Row],[M_QTRI_COUNT]]+Table_Default__XLS_TAB_2377[[#This Row],[M_NQTRI_COUNT]]</f>
        <v>118</v>
      </c>
      <c r="E13" s="33">
        <v>55</v>
      </c>
      <c r="F13" s="33">
        <v>63</v>
      </c>
      <c r="G13" s="801">
        <f>Table_Default__XLS_TAB_2377[[#This Row],[W_QTRI_COUNT]]+Table_Default__XLS_TAB_2377[[#This Row],[W_NQTRI_COUNT]]</f>
        <v>118</v>
      </c>
      <c r="H13" s="44" t="s">
        <v>80</v>
      </c>
    </row>
    <row r="14" spans="1:9" ht="21.75" customHeight="1" thickBot="1">
      <c r="A14" s="146" t="s">
        <v>79</v>
      </c>
      <c r="B14" s="33">
        <v>97</v>
      </c>
      <c r="C14" s="33">
        <v>71</v>
      </c>
      <c r="D14" s="801">
        <f>Table_Default__XLS_TAB_2377[[#This Row],[M_QTRI_COUNT]]+Table_Default__XLS_TAB_2377[[#This Row],[M_NQTRI_COUNT]]</f>
        <v>168</v>
      </c>
      <c r="E14" s="33">
        <v>88</v>
      </c>
      <c r="F14" s="33">
        <v>80</v>
      </c>
      <c r="G14" s="801">
        <f>Table_Default__XLS_TAB_2377[[#This Row],[W_QTRI_COUNT]]+Table_Default__XLS_TAB_2377[[#This Row],[W_NQTRI_COUNT]]</f>
        <v>168</v>
      </c>
      <c r="H14" s="43" t="s">
        <v>78</v>
      </c>
    </row>
    <row r="15" spans="1:9" ht="21.75" customHeight="1" thickBot="1">
      <c r="A15" s="45" t="s">
        <v>77</v>
      </c>
      <c r="B15" s="33">
        <v>79</v>
      </c>
      <c r="C15" s="33">
        <v>50</v>
      </c>
      <c r="D15" s="801">
        <f>Table_Default__XLS_TAB_2377[[#This Row],[M_QTRI_COUNT]]+Table_Default__XLS_TAB_2377[[#This Row],[M_NQTRI_COUNT]]</f>
        <v>129</v>
      </c>
      <c r="E15" s="33">
        <v>68</v>
      </c>
      <c r="F15" s="33">
        <v>61</v>
      </c>
      <c r="G15" s="801">
        <f>Table_Default__XLS_TAB_2377[[#This Row],[W_QTRI_COUNT]]+Table_Default__XLS_TAB_2377[[#This Row],[W_NQTRI_COUNT]]</f>
        <v>129</v>
      </c>
      <c r="H15" s="44" t="s">
        <v>76</v>
      </c>
    </row>
    <row r="16" spans="1:9" ht="21.75" customHeight="1" thickBot="1">
      <c r="A16" s="146" t="s">
        <v>75</v>
      </c>
      <c r="B16" s="33">
        <v>112</v>
      </c>
      <c r="C16" s="33">
        <v>64</v>
      </c>
      <c r="D16" s="801">
        <f>Table_Default__XLS_TAB_2377[[#This Row],[M_QTRI_COUNT]]+Table_Default__XLS_TAB_2377[[#This Row],[M_NQTRI_COUNT]]</f>
        <v>176</v>
      </c>
      <c r="E16" s="33">
        <v>99</v>
      </c>
      <c r="F16" s="33">
        <v>77</v>
      </c>
      <c r="G16" s="801">
        <f>Table_Default__XLS_TAB_2377[[#This Row],[W_QTRI_COUNT]]+Table_Default__XLS_TAB_2377[[#This Row],[W_NQTRI_COUNT]]</f>
        <v>176</v>
      </c>
      <c r="H16" s="43" t="s">
        <v>74</v>
      </c>
    </row>
    <row r="17" spans="1:8" ht="21.75" customHeight="1" thickBot="1">
      <c r="A17" s="45" t="s">
        <v>73</v>
      </c>
      <c r="B17" s="33">
        <v>130</v>
      </c>
      <c r="C17" s="33">
        <v>61</v>
      </c>
      <c r="D17" s="801">
        <f>Table_Default__XLS_TAB_2377[[#This Row],[M_QTRI_COUNT]]+Table_Default__XLS_TAB_2377[[#This Row],[M_NQTRI_COUNT]]</f>
        <v>191</v>
      </c>
      <c r="E17" s="33">
        <v>108</v>
      </c>
      <c r="F17" s="33">
        <v>83</v>
      </c>
      <c r="G17" s="801">
        <f>Table_Default__XLS_TAB_2377[[#This Row],[W_QTRI_COUNT]]+Table_Default__XLS_TAB_2377[[#This Row],[W_NQTRI_COUNT]]</f>
        <v>191</v>
      </c>
      <c r="H17" s="44" t="s">
        <v>72</v>
      </c>
    </row>
    <row r="18" spans="1:8" ht="21.75" customHeight="1" thickBot="1">
      <c r="A18" s="146" t="s">
        <v>71</v>
      </c>
      <c r="B18" s="33">
        <v>90</v>
      </c>
      <c r="C18" s="33">
        <v>63</v>
      </c>
      <c r="D18" s="801">
        <f>Table_Default__XLS_TAB_2377[[#This Row],[M_QTRI_COUNT]]+Table_Default__XLS_TAB_2377[[#This Row],[M_NQTRI_COUNT]]</f>
        <v>153</v>
      </c>
      <c r="E18" s="33">
        <v>82</v>
      </c>
      <c r="F18" s="33">
        <v>71</v>
      </c>
      <c r="G18" s="801">
        <f>Table_Default__XLS_TAB_2377[[#This Row],[W_QTRI_COUNT]]+Table_Default__XLS_TAB_2377[[#This Row],[W_NQTRI_COUNT]]</f>
        <v>153</v>
      </c>
      <c r="H18" s="43" t="s">
        <v>70</v>
      </c>
    </row>
    <row r="19" spans="1:8" ht="21.75" customHeight="1" thickBot="1">
      <c r="A19" s="220" t="s">
        <v>69</v>
      </c>
      <c r="B19" s="224">
        <v>100</v>
      </c>
      <c r="C19" s="224">
        <v>82</v>
      </c>
      <c r="D19" s="801">
        <f>Table_Default__XLS_TAB_2377[[#This Row],[M_QTRI_COUNT]]+Table_Default__XLS_TAB_2377[[#This Row],[M_NQTRI_COUNT]]</f>
        <v>182</v>
      </c>
      <c r="E19" s="224">
        <v>88</v>
      </c>
      <c r="F19" s="224">
        <v>94</v>
      </c>
      <c r="G19" s="801">
        <f>Table_Default__XLS_TAB_2377[[#This Row],[W_QTRI_COUNT]]+Table_Default__XLS_TAB_2377[[#This Row],[W_NQTRI_COUNT]]</f>
        <v>182</v>
      </c>
      <c r="H19" s="221" t="s">
        <v>68</v>
      </c>
    </row>
    <row r="20" spans="1:8" ht="22.5" customHeight="1">
      <c r="A20" s="104" t="s">
        <v>17</v>
      </c>
      <c r="B20" s="108">
        <f t="shared" ref="B20:G20" si="0">SUM(B8:B19)</f>
        <v>1115</v>
      </c>
      <c r="C20" s="108">
        <f t="shared" si="0"/>
        <v>718</v>
      </c>
      <c r="D20" s="109">
        <f t="shared" si="0"/>
        <v>1833</v>
      </c>
      <c r="E20" s="108">
        <f t="shared" si="0"/>
        <v>992</v>
      </c>
      <c r="F20" s="108">
        <f t="shared" si="0"/>
        <v>841</v>
      </c>
      <c r="G20" s="109">
        <f t="shared" si="0"/>
        <v>1833</v>
      </c>
      <c r="H20" s="93" t="s">
        <v>56</v>
      </c>
    </row>
    <row r="26" spans="1:8">
      <c r="A26" s="1" t="s">
        <v>93</v>
      </c>
      <c r="B26" s="1" t="s">
        <v>298</v>
      </c>
      <c r="C26" s="1" t="s">
        <v>297</v>
      </c>
    </row>
    <row r="27" spans="1:8" ht="21.75">
      <c r="A27" s="13" t="s">
        <v>719</v>
      </c>
      <c r="B27" s="102">
        <f>C8</f>
        <v>46</v>
      </c>
      <c r="C27" s="102">
        <f>B8</f>
        <v>92</v>
      </c>
    </row>
    <row r="28" spans="1:8" ht="21.75">
      <c r="A28" s="13" t="s">
        <v>718</v>
      </c>
      <c r="B28" s="102">
        <f>C9</f>
        <v>49</v>
      </c>
      <c r="C28" s="1">
        <f t="shared" ref="C28:C38" si="1">B9</f>
        <v>55</v>
      </c>
    </row>
    <row r="29" spans="1:8" ht="21.75">
      <c r="A29" s="13" t="s">
        <v>720</v>
      </c>
      <c r="B29" s="1">
        <f t="shared" ref="B29:B38" si="2">C10</f>
        <v>56</v>
      </c>
      <c r="C29" s="1">
        <f t="shared" si="1"/>
        <v>94</v>
      </c>
    </row>
    <row r="30" spans="1:8" ht="21.75">
      <c r="A30" s="13" t="s">
        <v>721</v>
      </c>
      <c r="B30" s="1">
        <f t="shared" si="2"/>
        <v>71</v>
      </c>
      <c r="C30" s="1">
        <f t="shared" si="1"/>
        <v>135</v>
      </c>
    </row>
    <row r="31" spans="1:8" ht="21.75">
      <c r="A31" s="13" t="s">
        <v>722</v>
      </c>
      <c r="B31" s="1">
        <f t="shared" si="2"/>
        <v>52</v>
      </c>
      <c r="C31" s="1">
        <f t="shared" si="1"/>
        <v>66</v>
      </c>
    </row>
    <row r="32" spans="1:8" ht="21.75">
      <c r="A32" s="13" t="s">
        <v>723</v>
      </c>
      <c r="B32" s="1">
        <f t="shared" si="2"/>
        <v>53</v>
      </c>
      <c r="C32" s="1">
        <f t="shared" si="1"/>
        <v>65</v>
      </c>
    </row>
    <row r="33" spans="1:3" ht="21.75">
      <c r="A33" s="13" t="s">
        <v>724</v>
      </c>
      <c r="B33" s="1">
        <f t="shared" si="2"/>
        <v>71</v>
      </c>
      <c r="C33" s="1">
        <f t="shared" si="1"/>
        <v>97</v>
      </c>
    </row>
    <row r="34" spans="1:3" ht="21.75">
      <c r="A34" s="13" t="s">
        <v>725</v>
      </c>
      <c r="B34" s="1">
        <f t="shared" si="2"/>
        <v>50</v>
      </c>
      <c r="C34" s="1">
        <f t="shared" si="1"/>
        <v>79</v>
      </c>
    </row>
    <row r="35" spans="1:3" ht="21.75">
      <c r="A35" s="13" t="s">
        <v>726</v>
      </c>
      <c r="B35" s="1">
        <f t="shared" si="2"/>
        <v>64</v>
      </c>
      <c r="C35" s="1">
        <f t="shared" si="1"/>
        <v>112</v>
      </c>
    </row>
    <row r="36" spans="1:3" ht="25.5">
      <c r="A36" s="13" t="s">
        <v>727</v>
      </c>
      <c r="B36" s="1">
        <f t="shared" si="2"/>
        <v>61</v>
      </c>
      <c r="C36" s="1">
        <f t="shared" si="1"/>
        <v>130</v>
      </c>
    </row>
    <row r="37" spans="1:3" ht="21.75">
      <c r="A37" s="13" t="s">
        <v>728</v>
      </c>
      <c r="B37" s="1">
        <f t="shared" si="2"/>
        <v>63</v>
      </c>
      <c r="C37" s="1">
        <f t="shared" si="1"/>
        <v>90</v>
      </c>
    </row>
    <row r="38" spans="1:3" ht="21.75">
      <c r="A38" s="13" t="s">
        <v>729</v>
      </c>
      <c r="B38" s="1">
        <f t="shared" si="2"/>
        <v>82</v>
      </c>
      <c r="C38" s="1">
        <f t="shared" si="1"/>
        <v>100</v>
      </c>
    </row>
    <row r="40" spans="1:3">
      <c r="B40" s="102">
        <f>SUM(B27:B39)</f>
        <v>718</v>
      </c>
      <c r="C40" s="102">
        <f>SUM(C27:C39)</f>
        <v>1115</v>
      </c>
    </row>
  </sheetData>
  <mergeCells count="7">
    <mergeCell ref="H6:H7"/>
    <mergeCell ref="A1:H1"/>
    <mergeCell ref="A2:H2"/>
    <mergeCell ref="A3:H3"/>
    <mergeCell ref="A6:A7"/>
    <mergeCell ref="B6:D6"/>
    <mergeCell ref="E6:G6"/>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N37"/>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1" ht="52.5" customHeight="1"/>
    <row r="37" spans="1:14" ht="15.75">
      <c r="A37" s="1038" t="s">
        <v>302</v>
      </c>
      <c r="B37" s="1038"/>
      <c r="C37" s="1038"/>
      <c r="D37" s="1038"/>
      <c r="E37" s="1038"/>
      <c r="F37" s="1038"/>
      <c r="G37" s="1038"/>
      <c r="H37" s="1038"/>
      <c r="I37" s="1038"/>
      <c r="J37" s="1038"/>
      <c r="K37" s="1038"/>
      <c r="L37" s="1038"/>
      <c r="M37" s="1038"/>
      <c r="N37" s="1038"/>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37"/>
  <sheetViews>
    <sheetView rightToLeft="1" view="pageBreakPreview" topLeftCell="A7" zoomScaleNormal="100" zoomScaleSheetLayoutView="100" workbookViewId="0">
      <selection activeCell="M18" sqref="M18"/>
    </sheetView>
  </sheetViews>
  <sheetFormatPr defaultColWidth="9.140625" defaultRowHeight="12.75"/>
  <cols>
    <col min="1" max="1" width="24.42578125" style="1" customWidth="1"/>
    <col min="2" max="5" width="14.140625" style="1" customWidth="1"/>
    <col min="6" max="6" width="10.85546875" style="1" customWidth="1"/>
    <col min="7" max="7" width="10.5703125" style="1" customWidth="1"/>
    <col min="8" max="8" width="13.42578125" style="1" customWidth="1"/>
    <col min="9" max="9" width="27.42578125" style="1" customWidth="1"/>
    <col min="10" max="16384" width="9.140625" style="1"/>
  </cols>
  <sheetData>
    <row r="1" spans="1:9" ht="24" customHeight="1">
      <c r="A1" s="1097" t="s">
        <v>307</v>
      </c>
      <c r="B1" s="1097"/>
      <c r="C1" s="1097"/>
      <c r="D1" s="1097"/>
      <c r="E1" s="1097"/>
      <c r="F1" s="1097"/>
      <c r="G1" s="1097"/>
      <c r="H1" s="1097"/>
      <c r="I1" s="1097"/>
    </row>
    <row r="2" spans="1:9" ht="15.75" customHeight="1">
      <c r="A2" s="1050" t="s">
        <v>306</v>
      </c>
      <c r="B2" s="1050"/>
      <c r="C2" s="1050"/>
      <c r="D2" s="1050"/>
      <c r="E2" s="1050"/>
      <c r="F2" s="1050"/>
      <c r="G2" s="1050"/>
      <c r="H2" s="1050"/>
      <c r="I2" s="1050"/>
    </row>
    <row r="3" spans="1:9" ht="15.75" customHeight="1">
      <c r="A3" s="1050">
        <v>2019</v>
      </c>
      <c r="B3" s="1050"/>
      <c r="C3" s="1050"/>
      <c r="D3" s="1050"/>
      <c r="E3" s="1050"/>
      <c r="F3" s="1050"/>
      <c r="G3" s="1050"/>
      <c r="H3" s="1050"/>
      <c r="I3" s="1050"/>
    </row>
    <row r="4" spans="1:9" ht="15.75" customHeight="1">
      <c r="A4" s="372"/>
      <c r="B4" s="372"/>
      <c r="C4" s="372"/>
      <c r="D4" s="372"/>
      <c r="E4" s="372"/>
      <c r="F4" s="393"/>
      <c r="G4" s="372"/>
      <c r="H4" s="372"/>
      <c r="I4" s="372"/>
    </row>
    <row r="5" spans="1:9" ht="16.5">
      <c r="A5" s="362" t="s">
        <v>410</v>
      </c>
      <c r="B5" s="363"/>
      <c r="C5" s="367"/>
      <c r="D5" s="367"/>
      <c r="E5" s="367"/>
      <c r="F5" s="367"/>
      <c r="G5" s="368"/>
      <c r="H5" s="371"/>
      <c r="I5" s="369" t="s">
        <v>411</v>
      </c>
    </row>
    <row r="6" spans="1:9" ht="30" customHeight="1" thickBot="1">
      <c r="A6" s="1150" t="s">
        <v>111</v>
      </c>
      <c r="B6" s="1143" t="s">
        <v>305</v>
      </c>
      <c r="C6" s="1143"/>
      <c r="D6" s="1143"/>
      <c r="E6" s="1143"/>
      <c r="F6" s="1143"/>
      <c r="G6" s="1143"/>
      <c r="H6" s="1093" t="s">
        <v>603</v>
      </c>
      <c r="I6" s="1095" t="s">
        <v>109</v>
      </c>
    </row>
    <row r="7" spans="1:9" ht="67.5" customHeight="1">
      <c r="A7" s="1151"/>
      <c r="B7" s="511" t="s">
        <v>639</v>
      </c>
      <c r="C7" s="511" t="s">
        <v>640</v>
      </c>
      <c r="D7" s="511" t="s">
        <v>641</v>
      </c>
      <c r="E7" s="511" t="s">
        <v>642</v>
      </c>
      <c r="F7" s="511" t="s">
        <v>611</v>
      </c>
      <c r="G7" s="508" t="s">
        <v>108</v>
      </c>
      <c r="H7" s="1152"/>
      <c r="I7" s="1149"/>
    </row>
    <row r="8" spans="1:9" ht="25.5" customHeight="1" thickBot="1">
      <c r="A8" s="73" t="s">
        <v>107</v>
      </c>
      <c r="B8" s="225">
        <v>493</v>
      </c>
      <c r="C8" s="222">
        <v>512</v>
      </c>
      <c r="D8" s="222">
        <v>85</v>
      </c>
      <c r="E8" s="222">
        <v>25</v>
      </c>
      <c r="F8" s="394">
        <v>0</v>
      </c>
      <c r="G8" s="110">
        <f>SUM(Table_Default__XLS_TAB_2478[[#This Row],[BAAN_SMALLERQATAR]:[Column1]])</f>
        <v>1115</v>
      </c>
      <c r="H8" s="54">
        <f>G8/$G$14%</f>
        <v>60.829241680305515</v>
      </c>
      <c r="I8" s="46" t="s">
        <v>703</v>
      </c>
    </row>
    <row r="9" spans="1:9" ht="25.5" customHeight="1" thickBot="1">
      <c r="A9" s="72" t="s">
        <v>106</v>
      </c>
      <c r="B9" s="225">
        <v>30</v>
      </c>
      <c r="C9" s="222">
        <v>22</v>
      </c>
      <c r="D9" s="222">
        <v>12</v>
      </c>
      <c r="E9" s="222">
        <v>0</v>
      </c>
      <c r="F9" s="394">
        <v>0</v>
      </c>
      <c r="G9" s="110">
        <f>SUM(Table_Default__XLS_TAB_2478[[#This Row],[BAAN_SMALLERQATAR]:[Column1]])</f>
        <v>64</v>
      </c>
      <c r="H9" s="53">
        <f>G9/$G$14%</f>
        <v>3.4915439170758322</v>
      </c>
      <c r="I9" s="44" t="s">
        <v>432</v>
      </c>
    </row>
    <row r="10" spans="1:9" ht="25.5" customHeight="1" thickBot="1">
      <c r="A10" s="71" t="s">
        <v>105</v>
      </c>
      <c r="B10" s="225">
        <v>206</v>
      </c>
      <c r="C10" s="222">
        <v>216</v>
      </c>
      <c r="D10" s="222">
        <v>75</v>
      </c>
      <c r="E10" s="222">
        <v>21</v>
      </c>
      <c r="F10" s="394">
        <v>0</v>
      </c>
      <c r="G10" s="110">
        <f>SUM(Table_Default__XLS_TAB_2478[[#This Row],[BAAN_SMALLERQATAR]:[Column1]])</f>
        <v>518</v>
      </c>
      <c r="H10" s="52">
        <f t="shared" ref="H10:H13" si="0">G10/$G$14%</f>
        <v>28.259683578832519</v>
      </c>
      <c r="I10" s="43" t="s">
        <v>433</v>
      </c>
    </row>
    <row r="11" spans="1:9" ht="25.5" customHeight="1" thickBot="1">
      <c r="A11" s="72" t="s">
        <v>731</v>
      </c>
      <c r="B11" s="225">
        <v>30</v>
      </c>
      <c r="C11" s="222">
        <v>45</v>
      </c>
      <c r="D11" s="222">
        <v>10</v>
      </c>
      <c r="E11" s="222">
        <v>0</v>
      </c>
      <c r="F11" s="394">
        <v>0</v>
      </c>
      <c r="G11" s="110">
        <f>SUM(Table_Default__XLS_TAB_2478[[#This Row],[BAAN_SMALLERQATAR]:[Column1]])</f>
        <v>85</v>
      </c>
      <c r="H11" s="53">
        <f t="shared" si="0"/>
        <v>4.63720676486634</v>
      </c>
      <c r="I11" s="44" t="s">
        <v>434</v>
      </c>
    </row>
    <row r="12" spans="1:9" ht="25.5" customHeight="1" thickBot="1">
      <c r="A12" s="71" t="s">
        <v>104</v>
      </c>
      <c r="B12" s="225">
        <v>3</v>
      </c>
      <c r="C12" s="222">
        <v>8</v>
      </c>
      <c r="D12" s="222">
        <v>2</v>
      </c>
      <c r="E12" s="222">
        <v>0</v>
      </c>
      <c r="F12" s="394">
        <v>0</v>
      </c>
      <c r="G12" s="110">
        <f>SUM(Table_Default__XLS_TAB_2478[[#This Row],[BAAN_SMALLERQATAR]:[Column1]])</f>
        <v>13</v>
      </c>
      <c r="H12" s="52">
        <f t="shared" si="0"/>
        <v>0.70921985815602839</v>
      </c>
      <c r="I12" s="43" t="s">
        <v>1253</v>
      </c>
    </row>
    <row r="13" spans="1:9" ht="25.5" customHeight="1" thickBot="1">
      <c r="A13" s="70" t="s">
        <v>732</v>
      </c>
      <c r="B13" s="226">
        <v>12</v>
      </c>
      <c r="C13" s="223">
        <v>19</v>
      </c>
      <c r="D13" s="223">
        <v>7</v>
      </c>
      <c r="E13" s="223">
        <v>0</v>
      </c>
      <c r="F13" s="395">
        <v>0</v>
      </c>
      <c r="G13" s="110">
        <f>SUM(Table_Default__XLS_TAB_2478[[#This Row],[BAAN_SMALLERQATAR]:[Column1]])</f>
        <v>38</v>
      </c>
      <c r="H13" s="51">
        <f t="shared" si="0"/>
        <v>2.0731042007637752</v>
      </c>
      <c r="I13" s="41" t="s">
        <v>436</v>
      </c>
    </row>
    <row r="14" spans="1:9" ht="25.5" customHeight="1">
      <c r="A14" s="69" t="s">
        <v>17</v>
      </c>
      <c r="B14" s="97">
        <f>SUM(B8:B13)</f>
        <v>774</v>
      </c>
      <c r="C14" s="97">
        <f>SUM(C8:C13)</f>
        <v>822</v>
      </c>
      <c r="D14" s="97">
        <f>SUM(D8:D13)</f>
        <v>191</v>
      </c>
      <c r="E14" s="97">
        <f>SUM(E8:E13)</f>
        <v>46</v>
      </c>
      <c r="F14" s="97">
        <f>SUM(Table_Default__XLS_TAB_2478[[#All],[Column1]])</f>
        <v>0</v>
      </c>
      <c r="G14" s="97">
        <f>SUM(G8:G13)</f>
        <v>1833</v>
      </c>
      <c r="H14" s="49">
        <f t="shared" ref="H14" si="1">SUM(H8:H13)</f>
        <v>100.00000000000001</v>
      </c>
      <c r="I14" s="68" t="s">
        <v>56</v>
      </c>
    </row>
    <row r="15" spans="1:9" ht="25.5" customHeight="1">
      <c r="A15" s="507" t="s">
        <v>304</v>
      </c>
      <c r="B15" s="802">
        <f>B14/$G$14%</f>
        <v>42.225859247135844</v>
      </c>
      <c r="C15" s="802">
        <f>C14/$G$14%</f>
        <v>44.844517184942724</v>
      </c>
      <c r="D15" s="802">
        <f>D14/$G$14%</f>
        <v>10.420076377523188</v>
      </c>
      <c r="E15" s="802">
        <f>E14/$G$14%</f>
        <v>2.5095471903982545</v>
      </c>
      <c r="F15" s="802">
        <f>F14/$G$14%</f>
        <v>0</v>
      </c>
      <c r="G15" s="802">
        <f>SUM(B15:F15)</f>
        <v>100.00000000000001</v>
      </c>
      <c r="H15" s="1147" t="s">
        <v>303</v>
      </c>
      <c r="I15" s="1148"/>
    </row>
    <row r="23" spans="1:5" ht="13.5" thickBot="1"/>
    <row r="24" spans="1:5" ht="75.75" thickBot="1">
      <c r="A24" s="67" t="s">
        <v>545</v>
      </c>
      <c r="B24" s="67" t="s">
        <v>546</v>
      </c>
      <c r="C24" s="67" t="s">
        <v>547</v>
      </c>
      <c r="D24" s="67" t="s">
        <v>548</v>
      </c>
      <c r="E24" s="392" t="s">
        <v>147</v>
      </c>
    </row>
    <row r="25" spans="1:5">
      <c r="A25" s="102">
        <f>B8</f>
        <v>493</v>
      </c>
      <c r="B25" s="102">
        <f>C8</f>
        <v>512</v>
      </c>
      <c r="C25" s="102">
        <f>D8</f>
        <v>85</v>
      </c>
      <c r="D25" s="102">
        <f>E8</f>
        <v>25</v>
      </c>
      <c r="E25" s="102">
        <f>F8</f>
        <v>0</v>
      </c>
    </row>
    <row r="26" spans="1:5">
      <c r="A26" s="12">
        <f>A25/$G$8%</f>
        <v>44.215246636771298</v>
      </c>
      <c r="B26" s="12">
        <f>B25/$G$8%</f>
        <v>45.91928251121076</v>
      </c>
      <c r="C26" s="12">
        <f>C25/$G$8%</f>
        <v>7.623318385650224</v>
      </c>
      <c r="D26" s="12">
        <f>D25/$G$8%</f>
        <v>2.2421524663677128</v>
      </c>
      <c r="E26" s="12">
        <f>E25/$G$8%</f>
        <v>0</v>
      </c>
    </row>
    <row r="30" spans="1:5" ht="25.5">
      <c r="A30" s="48" t="s">
        <v>101</v>
      </c>
      <c r="B30" s="102">
        <f>G8</f>
        <v>1115</v>
      </c>
    </row>
    <row r="31" spans="1:5" ht="25.5">
      <c r="A31" s="48" t="s">
        <v>100</v>
      </c>
      <c r="B31" s="1">
        <f t="shared" ref="B31:B35" si="2">G9</f>
        <v>64</v>
      </c>
    </row>
    <row r="32" spans="1:5" ht="25.5">
      <c r="A32" s="48" t="s">
        <v>99</v>
      </c>
      <c r="B32" s="1">
        <f t="shared" si="2"/>
        <v>518</v>
      </c>
    </row>
    <row r="33" spans="1:2" ht="25.5">
      <c r="A33" s="48" t="s">
        <v>98</v>
      </c>
      <c r="B33" s="1">
        <f t="shared" si="2"/>
        <v>85</v>
      </c>
    </row>
    <row r="34" spans="1:2" ht="25.5">
      <c r="A34" s="48" t="s">
        <v>97</v>
      </c>
      <c r="B34" s="1">
        <f t="shared" si="2"/>
        <v>13</v>
      </c>
    </row>
    <row r="35" spans="1:2" ht="26.25" thickBot="1">
      <c r="A35" s="47" t="s">
        <v>96</v>
      </c>
      <c r="B35" s="1">
        <f t="shared" si="2"/>
        <v>38</v>
      </c>
    </row>
    <row r="36" spans="1:2" ht="13.5" thickTop="1"/>
    <row r="37" spans="1:2">
      <c r="B37" s="1">
        <f>SUM(B30:B36)</f>
        <v>1833</v>
      </c>
    </row>
  </sheetData>
  <mergeCells count="8">
    <mergeCell ref="A1:I1"/>
    <mergeCell ref="A2:I2"/>
    <mergeCell ref="A3:I3"/>
    <mergeCell ref="H15:I15"/>
    <mergeCell ref="B6:G6"/>
    <mergeCell ref="I6:I7"/>
    <mergeCell ref="A6:A7"/>
    <mergeCell ref="H6:H7"/>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34:N34"/>
  <sheetViews>
    <sheetView rightToLeft="1" view="pageBreakPreview" topLeftCell="A10" zoomScaleNormal="100" zoomScaleSheetLayoutView="100" workbookViewId="0">
      <selection activeCell="M18" sqref="M18"/>
    </sheetView>
  </sheetViews>
  <sheetFormatPr defaultColWidth="9.140625" defaultRowHeight="12.75"/>
  <cols>
    <col min="1" max="16384" width="9.140625" style="1"/>
  </cols>
  <sheetData>
    <row r="34" spans="1:14" ht="15.75">
      <c r="A34" s="1038" t="s">
        <v>308</v>
      </c>
      <c r="B34" s="1038"/>
      <c r="C34" s="1038"/>
      <c r="D34" s="1038"/>
      <c r="E34" s="1038"/>
      <c r="F34" s="1038"/>
      <c r="G34" s="1038"/>
      <c r="H34" s="1038"/>
      <c r="I34" s="1038"/>
      <c r="J34" s="1038"/>
      <c r="K34" s="1038"/>
      <c r="L34" s="1038"/>
      <c r="M34" s="1038"/>
      <c r="N34" s="313"/>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33:N33"/>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33" spans="1:14" ht="15.75">
      <c r="A33" s="1038" t="s">
        <v>309</v>
      </c>
      <c r="B33" s="1038"/>
      <c r="C33" s="1038"/>
      <c r="D33" s="1038"/>
      <c r="E33" s="1038"/>
      <c r="F33" s="1038"/>
      <c r="G33" s="1038"/>
      <c r="H33" s="1038"/>
      <c r="I33" s="1038"/>
      <c r="J33" s="1038"/>
      <c r="K33" s="1038"/>
      <c r="L33" s="1038"/>
      <c r="M33" s="1038"/>
      <c r="N33" s="313"/>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23"/>
  <sheetViews>
    <sheetView rightToLeft="1" view="pageBreakPreview" topLeftCell="A4" zoomScaleNormal="100" zoomScaleSheetLayoutView="100" workbookViewId="0">
      <selection activeCell="M18" sqref="M18"/>
    </sheetView>
  </sheetViews>
  <sheetFormatPr defaultColWidth="9.140625" defaultRowHeight="12.75"/>
  <cols>
    <col min="1" max="1" width="22.85546875" style="1" customWidth="1"/>
    <col min="2" max="5" width="13.85546875" style="1" customWidth="1"/>
    <col min="6" max="6" width="12.85546875" style="1" customWidth="1"/>
    <col min="7" max="7" width="12.42578125" style="1" customWidth="1"/>
    <col min="8" max="8" width="13.42578125" style="1" customWidth="1"/>
    <col min="9" max="9" width="27.140625" style="1" customWidth="1"/>
    <col min="10" max="16384" width="9.140625" style="1"/>
  </cols>
  <sheetData>
    <row r="1" spans="1:9" ht="24" customHeight="1">
      <c r="A1" s="1097" t="s">
        <v>313</v>
      </c>
      <c r="B1" s="1097"/>
      <c r="C1" s="1097"/>
      <c r="D1" s="1097"/>
      <c r="E1" s="1097"/>
      <c r="F1" s="1097"/>
      <c r="G1" s="1097"/>
      <c r="H1" s="1097"/>
      <c r="I1" s="1097"/>
    </row>
    <row r="2" spans="1:9" ht="15.75" customHeight="1">
      <c r="A2" s="1050" t="s">
        <v>312</v>
      </c>
      <c r="B2" s="1050"/>
      <c r="C2" s="1050"/>
      <c r="D2" s="1050"/>
      <c r="E2" s="1050"/>
      <c r="F2" s="1050"/>
      <c r="G2" s="1050"/>
      <c r="H2" s="1050"/>
      <c r="I2" s="1050"/>
    </row>
    <row r="3" spans="1:9" ht="15.75" customHeight="1">
      <c r="A3" s="1050">
        <v>2019</v>
      </c>
      <c r="B3" s="1050"/>
      <c r="C3" s="1050"/>
      <c r="D3" s="1050"/>
      <c r="E3" s="1050"/>
      <c r="F3" s="1050"/>
      <c r="G3" s="1050"/>
      <c r="H3" s="1050"/>
      <c r="I3" s="1050"/>
    </row>
    <row r="4" spans="1:9" ht="18.75" customHeight="1">
      <c r="A4" s="1050" t="s">
        <v>53</v>
      </c>
      <c r="B4" s="1050"/>
      <c r="C4" s="1050"/>
      <c r="D4" s="1050"/>
      <c r="E4" s="1050"/>
      <c r="F4" s="1050"/>
      <c r="G4" s="1050"/>
      <c r="H4" s="1050"/>
      <c r="I4" s="1050"/>
    </row>
    <row r="5" spans="1:9" ht="18.75" customHeight="1">
      <c r="A5" s="372"/>
      <c r="B5" s="372"/>
      <c r="C5" s="372"/>
      <c r="D5" s="372"/>
      <c r="E5" s="372"/>
      <c r="F5" s="393"/>
      <c r="G5" s="372"/>
      <c r="H5" s="372"/>
      <c r="I5" s="372"/>
    </row>
    <row r="6" spans="1:9" s="31" customFormat="1" ht="16.5">
      <c r="A6" s="362" t="s">
        <v>328</v>
      </c>
      <c r="B6" s="363"/>
      <c r="C6" s="364"/>
      <c r="D6" s="364"/>
      <c r="E6" s="364"/>
      <c r="F6" s="364"/>
      <c r="G6" s="369"/>
      <c r="H6" s="369"/>
      <c r="I6" s="369" t="s">
        <v>327</v>
      </c>
    </row>
    <row r="7" spans="1:9" ht="27.75" customHeight="1" thickBot="1">
      <c r="A7" s="1150" t="s">
        <v>311</v>
      </c>
      <c r="B7" s="1143" t="s">
        <v>305</v>
      </c>
      <c r="C7" s="1143"/>
      <c r="D7" s="1143"/>
      <c r="E7" s="1143"/>
      <c r="F7" s="1143"/>
      <c r="G7" s="1143"/>
      <c r="H7" s="1093" t="s">
        <v>632</v>
      </c>
      <c r="I7" s="1095" t="s">
        <v>310</v>
      </c>
    </row>
    <row r="8" spans="1:9" ht="58.5" customHeight="1">
      <c r="A8" s="1151"/>
      <c r="B8" s="511" t="s">
        <v>639</v>
      </c>
      <c r="C8" s="511" t="s">
        <v>640</v>
      </c>
      <c r="D8" s="511" t="s">
        <v>641</v>
      </c>
      <c r="E8" s="511" t="s">
        <v>1281</v>
      </c>
      <c r="F8" s="511" t="s">
        <v>611</v>
      </c>
      <c r="G8" s="508" t="s">
        <v>108</v>
      </c>
      <c r="H8" s="1152"/>
      <c r="I8" s="1149"/>
    </row>
    <row r="9" spans="1:9" ht="16.5" thickBot="1">
      <c r="A9" s="23">
        <v>-20</v>
      </c>
      <c r="B9" s="227">
        <v>0</v>
      </c>
      <c r="C9" s="35">
        <v>1</v>
      </c>
      <c r="D9" s="35">
        <v>0</v>
      </c>
      <c r="E9" s="35">
        <v>0</v>
      </c>
      <c r="F9" s="228">
        <v>0</v>
      </c>
      <c r="G9" s="111">
        <f>SUM(Table_Default__XLS_TAB_25_1101[[#This Row],[BAAN_SMALLERQATAR]:[Column1]])</f>
        <v>1</v>
      </c>
      <c r="H9" s="54">
        <f t="shared" ref="H9:H22" si="0">G9/$G$23%</f>
        <v>8.9686098654708515E-2</v>
      </c>
      <c r="I9" s="905">
        <v>-20</v>
      </c>
    </row>
    <row r="10" spans="1:9" ht="16.5" thickBot="1">
      <c r="A10" s="19" t="s">
        <v>1262</v>
      </c>
      <c r="B10" s="227">
        <v>26</v>
      </c>
      <c r="C10" s="35">
        <v>50</v>
      </c>
      <c r="D10" s="35">
        <v>14</v>
      </c>
      <c r="E10" s="35">
        <v>0</v>
      </c>
      <c r="F10" s="228">
        <v>0</v>
      </c>
      <c r="G10" s="111">
        <f>SUM(Table_Default__XLS_TAB_25_1101[[#This Row],[BAAN_SMALLERQATAR]:[Column1]])</f>
        <v>90</v>
      </c>
      <c r="H10" s="53">
        <f t="shared" si="0"/>
        <v>8.071748878923767</v>
      </c>
      <c r="I10" s="910" t="s">
        <v>128</v>
      </c>
    </row>
    <row r="11" spans="1:9" ht="16.5" thickBot="1">
      <c r="A11" s="16" t="s">
        <v>1263</v>
      </c>
      <c r="B11" s="227">
        <v>106</v>
      </c>
      <c r="C11" s="35">
        <v>128</v>
      </c>
      <c r="D11" s="35">
        <v>20</v>
      </c>
      <c r="E11" s="35">
        <v>6</v>
      </c>
      <c r="F11" s="228">
        <v>0</v>
      </c>
      <c r="G11" s="111">
        <f>SUM(Table_Default__XLS_TAB_25_1101[[#This Row],[BAAN_SMALLERQATAR]:[Column1]])</f>
        <v>260</v>
      </c>
      <c r="H11" s="52">
        <f t="shared" si="0"/>
        <v>23.318385650224215</v>
      </c>
      <c r="I11" s="911" t="s">
        <v>127</v>
      </c>
    </row>
    <row r="12" spans="1:9" ht="16.5" thickBot="1">
      <c r="A12" s="19" t="s">
        <v>1264</v>
      </c>
      <c r="B12" s="227">
        <v>86</v>
      </c>
      <c r="C12" s="35">
        <v>106</v>
      </c>
      <c r="D12" s="35">
        <v>15</v>
      </c>
      <c r="E12" s="35">
        <v>3</v>
      </c>
      <c r="F12" s="228">
        <v>0</v>
      </c>
      <c r="G12" s="111">
        <f>SUM(Table_Default__XLS_TAB_25_1101[[#This Row],[BAAN_SMALLERQATAR]:[Column1]])</f>
        <v>210</v>
      </c>
      <c r="H12" s="53">
        <f t="shared" si="0"/>
        <v>18.834080717488789</v>
      </c>
      <c r="I12" s="910" t="s">
        <v>126</v>
      </c>
    </row>
    <row r="13" spans="1:9" ht="16.5" thickBot="1">
      <c r="A13" s="16" t="s">
        <v>1265</v>
      </c>
      <c r="B13" s="227">
        <v>83</v>
      </c>
      <c r="C13" s="35">
        <v>66</v>
      </c>
      <c r="D13" s="35">
        <v>10</v>
      </c>
      <c r="E13" s="35">
        <v>6</v>
      </c>
      <c r="F13" s="228">
        <v>0</v>
      </c>
      <c r="G13" s="111">
        <f>SUM(Table_Default__XLS_TAB_25_1101[[#This Row],[BAAN_SMALLERQATAR]:[Column1]])</f>
        <v>165</v>
      </c>
      <c r="H13" s="52">
        <f t="shared" si="0"/>
        <v>14.798206278026905</v>
      </c>
      <c r="I13" s="911" t="s">
        <v>125</v>
      </c>
    </row>
    <row r="14" spans="1:9" ht="16.5" thickBot="1">
      <c r="A14" s="19" t="s">
        <v>1266</v>
      </c>
      <c r="B14" s="227">
        <v>51</v>
      </c>
      <c r="C14" s="35">
        <v>52</v>
      </c>
      <c r="D14" s="35">
        <v>10</v>
      </c>
      <c r="E14" s="35">
        <v>3</v>
      </c>
      <c r="F14" s="228">
        <v>0</v>
      </c>
      <c r="G14" s="111">
        <f>SUM(Table_Default__XLS_TAB_25_1101[[#This Row],[BAAN_SMALLERQATAR]:[Column1]])</f>
        <v>116</v>
      </c>
      <c r="H14" s="53">
        <f t="shared" si="0"/>
        <v>10.403587443946188</v>
      </c>
      <c r="I14" s="910" t="s">
        <v>124</v>
      </c>
    </row>
    <row r="15" spans="1:9" ht="16.5" thickBot="1">
      <c r="A15" s="16" t="s">
        <v>1267</v>
      </c>
      <c r="B15" s="227">
        <v>55</v>
      </c>
      <c r="C15" s="35">
        <v>31</v>
      </c>
      <c r="D15" s="35">
        <v>5</v>
      </c>
      <c r="E15" s="35">
        <v>3</v>
      </c>
      <c r="F15" s="228">
        <v>0</v>
      </c>
      <c r="G15" s="111">
        <f>SUM(Table_Default__XLS_TAB_25_1101[[#This Row],[BAAN_SMALLERQATAR]:[Column1]])</f>
        <v>94</v>
      </c>
      <c r="H15" s="52">
        <f t="shared" si="0"/>
        <v>8.4304932735426004</v>
      </c>
      <c r="I15" s="911" t="s">
        <v>123</v>
      </c>
    </row>
    <row r="16" spans="1:9" ht="16.5" thickBot="1">
      <c r="A16" s="19" t="s">
        <v>1268</v>
      </c>
      <c r="B16" s="227">
        <v>38</v>
      </c>
      <c r="C16" s="35">
        <v>31</v>
      </c>
      <c r="D16" s="35">
        <v>5</v>
      </c>
      <c r="E16" s="35">
        <v>3</v>
      </c>
      <c r="F16" s="228">
        <v>0</v>
      </c>
      <c r="G16" s="111">
        <f>SUM(Table_Default__XLS_TAB_25_1101[[#This Row],[BAAN_SMALLERQATAR]:[Column1]])</f>
        <v>77</v>
      </c>
      <c r="H16" s="53">
        <f t="shared" si="0"/>
        <v>6.9058295964125556</v>
      </c>
      <c r="I16" s="910" t="s">
        <v>122</v>
      </c>
    </row>
    <row r="17" spans="1:9" ht="16.5" thickBot="1">
      <c r="A17" s="16" t="s">
        <v>1269</v>
      </c>
      <c r="B17" s="227">
        <v>22</v>
      </c>
      <c r="C17" s="35">
        <v>20</v>
      </c>
      <c r="D17" s="35">
        <v>3</v>
      </c>
      <c r="E17" s="35">
        <v>0</v>
      </c>
      <c r="F17" s="228">
        <v>0</v>
      </c>
      <c r="G17" s="111">
        <f>SUM(Table_Default__XLS_TAB_25_1101[[#This Row],[BAAN_SMALLERQATAR]:[Column1]])</f>
        <v>45</v>
      </c>
      <c r="H17" s="52">
        <f t="shared" si="0"/>
        <v>4.0358744394618835</v>
      </c>
      <c r="I17" s="911" t="s">
        <v>121</v>
      </c>
    </row>
    <row r="18" spans="1:9" ht="16.5" thickBot="1">
      <c r="A18" s="19" t="s">
        <v>1282</v>
      </c>
      <c r="B18" s="227">
        <v>14</v>
      </c>
      <c r="C18" s="35">
        <v>12</v>
      </c>
      <c r="D18" s="35">
        <v>3</v>
      </c>
      <c r="E18" s="35">
        <v>1</v>
      </c>
      <c r="F18" s="228">
        <v>0</v>
      </c>
      <c r="G18" s="111">
        <f>SUM(Table_Default__XLS_TAB_25_1101[[#This Row],[BAAN_SMALLERQATAR]:[Column1]])</f>
        <v>30</v>
      </c>
      <c r="H18" s="53">
        <f t="shared" si="0"/>
        <v>2.6905829596412554</v>
      </c>
      <c r="I18" s="910" t="s">
        <v>120</v>
      </c>
    </row>
    <row r="19" spans="1:9" ht="16.5" thickBot="1">
      <c r="A19" s="16" t="s">
        <v>1283</v>
      </c>
      <c r="B19" s="227">
        <v>6</v>
      </c>
      <c r="C19" s="35">
        <v>9</v>
      </c>
      <c r="D19" s="35">
        <v>0</v>
      </c>
      <c r="E19" s="35">
        <v>0</v>
      </c>
      <c r="F19" s="228">
        <v>0</v>
      </c>
      <c r="G19" s="111">
        <f>SUM(Table_Default__XLS_TAB_25_1101[[#This Row],[BAAN_SMALLERQATAR]:[Column1]])</f>
        <v>15</v>
      </c>
      <c r="H19" s="52">
        <f t="shared" si="0"/>
        <v>1.3452914798206277</v>
      </c>
      <c r="I19" s="911" t="s">
        <v>119</v>
      </c>
    </row>
    <row r="20" spans="1:9" ht="16.5" thickBot="1">
      <c r="A20" s="19" t="s">
        <v>1284</v>
      </c>
      <c r="B20" s="227">
        <v>6</v>
      </c>
      <c r="C20" s="35">
        <v>3</v>
      </c>
      <c r="D20" s="35">
        <v>0</v>
      </c>
      <c r="E20" s="35">
        <v>0</v>
      </c>
      <c r="F20" s="228">
        <v>0</v>
      </c>
      <c r="G20" s="111">
        <f>SUM(Table_Default__XLS_TAB_25_1101[[#This Row],[BAAN_SMALLERQATAR]:[Column1]])</f>
        <v>9</v>
      </c>
      <c r="H20" s="53">
        <f t="shared" si="0"/>
        <v>0.80717488789237668</v>
      </c>
      <c r="I20" s="910" t="s">
        <v>118</v>
      </c>
    </row>
    <row r="21" spans="1:9" ht="16.5" thickBot="1">
      <c r="A21" s="16" t="s">
        <v>117</v>
      </c>
      <c r="B21" s="227">
        <v>0</v>
      </c>
      <c r="C21" s="35">
        <v>3</v>
      </c>
      <c r="D21" s="35">
        <v>0</v>
      </c>
      <c r="E21" s="35">
        <v>0</v>
      </c>
      <c r="F21" s="228">
        <v>0</v>
      </c>
      <c r="G21" s="111">
        <f>SUM(Table_Default__XLS_TAB_25_1101[[#This Row],[BAAN_SMALLERQATAR]:[Column1]])</f>
        <v>3</v>
      </c>
      <c r="H21" s="52">
        <f t="shared" si="0"/>
        <v>0.26905829596412556</v>
      </c>
      <c r="I21" s="911" t="s">
        <v>1285</v>
      </c>
    </row>
    <row r="22" spans="1:9" ht="16.5" thickBot="1">
      <c r="A22" s="76" t="s">
        <v>15</v>
      </c>
      <c r="B22" s="229">
        <v>0</v>
      </c>
      <c r="C22" s="230">
        <v>0</v>
      </c>
      <c r="D22" s="230">
        <v>0</v>
      </c>
      <c r="E22" s="230">
        <v>0</v>
      </c>
      <c r="F22" s="231">
        <v>0</v>
      </c>
      <c r="G22" s="111">
        <f>SUM(Table_Default__XLS_TAB_25_1101[[#This Row],[BAAN_SMALLERQATAR]:[Column1]])</f>
        <v>0</v>
      </c>
      <c r="H22" s="51">
        <f t="shared" si="0"/>
        <v>0</v>
      </c>
      <c r="I22" s="913" t="s">
        <v>16</v>
      </c>
    </row>
    <row r="23" spans="1:9" ht="20.100000000000001" customHeight="1">
      <c r="A23" s="50" t="s">
        <v>17</v>
      </c>
      <c r="B23" s="105">
        <f>SUM(B9:B22)</f>
        <v>493</v>
      </c>
      <c r="C23" s="105">
        <f t="shared" ref="C23:H23" si="1">SUM(C9:C22)</f>
        <v>512</v>
      </c>
      <c r="D23" s="105">
        <f t="shared" si="1"/>
        <v>85</v>
      </c>
      <c r="E23" s="105">
        <f t="shared" si="1"/>
        <v>25</v>
      </c>
      <c r="F23" s="105">
        <f t="shared" si="1"/>
        <v>0</v>
      </c>
      <c r="G23" s="105">
        <f>SUM(G9:G22)</f>
        <v>1115</v>
      </c>
      <c r="H23" s="74">
        <f t="shared" si="1"/>
        <v>100</v>
      </c>
      <c r="I23" s="40" t="s">
        <v>56</v>
      </c>
    </row>
  </sheetData>
  <mergeCells count="8">
    <mergeCell ref="A1:I1"/>
    <mergeCell ref="A2:I2"/>
    <mergeCell ref="A3:I3"/>
    <mergeCell ref="A7:A8"/>
    <mergeCell ref="B7:G7"/>
    <mergeCell ref="H7:H8"/>
    <mergeCell ref="I7:I8"/>
    <mergeCell ref="A4:I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23"/>
  <sheetViews>
    <sheetView rightToLeft="1" view="pageBreakPreview" topLeftCell="A4" zoomScaleNormal="100" zoomScaleSheetLayoutView="100" workbookViewId="0">
      <selection activeCell="M18" sqref="M18"/>
    </sheetView>
  </sheetViews>
  <sheetFormatPr defaultColWidth="9.140625" defaultRowHeight="12.75"/>
  <cols>
    <col min="1" max="1" width="22.85546875" style="1" customWidth="1"/>
    <col min="2" max="5" width="13.85546875" style="1" customWidth="1"/>
    <col min="6" max="6" width="12.85546875" style="1" customWidth="1"/>
    <col min="7" max="7" width="12.42578125" style="1" customWidth="1"/>
    <col min="8" max="8" width="13.42578125" style="1" customWidth="1"/>
    <col min="9" max="9" width="27.140625" style="1" customWidth="1"/>
    <col min="10" max="16384" width="9.140625" style="1"/>
  </cols>
  <sheetData>
    <row r="1" spans="1:9" ht="24" customHeight="1">
      <c r="A1" s="1097" t="s">
        <v>313</v>
      </c>
      <c r="B1" s="1097"/>
      <c r="C1" s="1097"/>
      <c r="D1" s="1097"/>
      <c r="E1" s="1097"/>
      <c r="F1" s="1097"/>
      <c r="G1" s="1097"/>
      <c r="H1" s="1097"/>
      <c r="I1" s="1097"/>
    </row>
    <row r="2" spans="1:9" ht="15.75" customHeight="1">
      <c r="A2" s="1050" t="s">
        <v>312</v>
      </c>
      <c r="B2" s="1050"/>
      <c r="C2" s="1050"/>
      <c r="D2" s="1050"/>
      <c r="E2" s="1050"/>
      <c r="F2" s="1050"/>
      <c r="G2" s="1050"/>
      <c r="H2" s="1050"/>
      <c r="I2" s="1050"/>
    </row>
    <row r="3" spans="1:9" ht="15.75" customHeight="1">
      <c r="A3" s="1050">
        <v>2019</v>
      </c>
      <c r="B3" s="1050"/>
      <c r="C3" s="1050"/>
      <c r="D3" s="1050"/>
      <c r="E3" s="1050"/>
      <c r="F3" s="1050"/>
      <c r="G3" s="1050"/>
      <c r="H3" s="1050"/>
      <c r="I3" s="1050"/>
    </row>
    <row r="4" spans="1:9" ht="18.75" customHeight="1">
      <c r="A4" s="1050" t="s">
        <v>52</v>
      </c>
      <c r="B4" s="1050"/>
      <c r="C4" s="1050"/>
      <c r="D4" s="1050"/>
      <c r="E4" s="1050"/>
      <c r="F4" s="1050"/>
      <c r="G4" s="1050"/>
      <c r="H4" s="1050"/>
      <c r="I4" s="1050"/>
    </row>
    <row r="5" spans="1:9" ht="18.75" customHeight="1">
      <c r="A5" s="372"/>
      <c r="B5" s="372"/>
      <c r="C5" s="372"/>
      <c r="D5" s="372"/>
      <c r="E5" s="372"/>
      <c r="F5" s="393"/>
      <c r="G5" s="372"/>
      <c r="H5" s="372"/>
      <c r="I5" s="372"/>
    </row>
    <row r="6" spans="1:9" s="31" customFormat="1" ht="16.5">
      <c r="A6" s="362" t="s">
        <v>332</v>
      </c>
      <c r="B6" s="363"/>
      <c r="C6" s="364"/>
      <c r="D6" s="364"/>
      <c r="E6" s="364"/>
      <c r="F6" s="364"/>
      <c r="G6" s="369"/>
      <c r="H6" s="369"/>
      <c r="I6" s="369" t="s">
        <v>331</v>
      </c>
    </row>
    <row r="7" spans="1:9" ht="27.75" customHeight="1" thickBot="1">
      <c r="A7" s="1150" t="s">
        <v>311</v>
      </c>
      <c r="B7" s="1143" t="s">
        <v>305</v>
      </c>
      <c r="C7" s="1143"/>
      <c r="D7" s="1143"/>
      <c r="E7" s="1143"/>
      <c r="F7" s="1143"/>
      <c r="G7" s="1143"/>
      <c r="H7" s="1093" t="s">
        <v>632</v>
      </c>
      <c r="I7" s="1095" t="s">
        <v>310</v>
      </c>
    </row>
    <row r="8" spans="1:9" ht="58.5" customHeight="1">
      <c r="A8" s="1153"/>
      <c r="B8" s="511" t="s">
        <v>639</v>
      </c>
      <c r="C8" s="511" t="s">
        <v>640</v>
      </c>
      <c r="D8" s="511" t="s">
        <v>641</v>
      </c>
      <c r="E8" s="511" t="s">
        <v>1281</v>
      </c>
      <c r="F8" s="511" t="s">
        <v>611</v>
      </c>
      <c r="G8" s="508" t="s">
        <v>108</v>
      </c>
      <c r="H8" s="1094"/>
      <c r="I8" s="1096"/>
    </row>
    <row r="9" spans="1:9" ht="16.5" thickBot="1">
      <c r="A9" s="736">
        <v>-20</v>
      </c>
      <c r="B9" s="740">
        <v>0</v>
      </c>
      <c r="C9" s="740">
        <v>0</v>
      </c>
      <c r="D9" s="740">
        <v>0</v>
      </c>
      <c r="E9" s="740">
        <v>0</v>
      </c>
      <c r="F9" s="740">
        <v>0</v>
      </c>
      <c r="G9" s="111">
        <f>SUM(Table_Default__XLS_TAB_25_2102[[#This Row],[BAAN_SMALLERQATAR]:[Column1]])</f>
        <v>0</v>
      </c>
      <c r="H9" s="829">
        <f t="shared" ref="H9:H22" si="0">G9/$G$23%</f>
        <v>0</v>
      </c>
      <c r="I9" s="909">
        <v>-20</v>
      </c>
    </row>
    <row r="10" spans="1:9" ht="16.5" thickBot="1">
      <c r="A10" s="19" t="s">
        <v>1262</v>
      </c>
      <c r="B10" s="33">
        <v>10</v>
      </c>
      <c r="C10" s="33">
        <v>7</v>
      </c>
      <c r="D10" s="33">
        <v>5</v>
      </c>
      <c r="E10" s="33">
        <v>0</v>
      </c>
      <c r="F10" s="33">
        <v>0</v>
      </c>
      <c r="G10" s="111">
        <f>SUM(Table_Default__XLS_TAB_25_2102[[#This Row],[BAAN_SMALLERQATAR]:[Column1]])</f>
        <v>22</v>
      </c>
      <c r="H10" s="53">
        <f t="shared" si="0"/>
        <v>3.0640668523676879</v>
      </c>
      <c r="I10" s="910" t="s">
        <v>128</v>
      </c>
    </row>
    <row r="11" spans="1:9" ht="16.5" thickBot="1">
      <c r="A11" s="16" t="s">
        <v>1263</v>
      </c>
      <c r="B11" s="33">
        <v>24</v>
      </c>
      <c r="C11" s="33">
        <v>42</v>
      </c>
      <c r="D11" s="33">
        <v>17</v>
      </c>
      <c r="E11" s="33">
        <v>1</v>
      </c>
      <c r="F11" s="33">
        <v>0</v>
      </c>
      <c r="G11" s="111">
        <f>SUM(Table_Default__XLS_TAB_25_2102[[#This Row],[BAAN_SMALLERQATAR]:[Column1]])</f>
        <v>84</v>
      </c>
      <c r="H11" s="52">
        <f t="shared" si="0"/>
        <v>11.699164345403901</v>
      </c>
      <c r="I11" s="911" t="s">
        <v>127</v>
      </c>
    </row>
    <row r="12" spans="1:9" ht="16.5" thickBot="1">
      <c r="A12" s="19" t="s">
        <v>1264</v>
      </c>
      <c r="B12" s="33">
        <v>37</v>
      </c>
      <c r="C12" s="33">
        <v>57</v>
      </c>
      <c r="D12" s="33">
        <v>24</v>
      </c>
      <c r="E12" s="33">
        <v>2</v>
      </c>
      <c r="F12" s="33">
        <v>0</v>
      </c>
      <c r="G12" s="111">
        <f>SUM(Table_Default__XLS_TAB_25_2102[[#This Row],[BAAN_SMALLERQATAR]:[Column1]])</f>
        <v>120</v>
      </c>
      <c r="H12" s="53">
        <f t="shared" si="0"/>
        <v>16.713091922005571</v>
      </c>
      <c r="I12" s="910" t="s">
        <v>126</v>
      </c>
    </row>
    <row r="13" spans="1:9" ht="16.5" thickBot="1">
      <c r="A13" s="16" t="s">
        <v>1265</v>
      </c>
      <c r="B13" s="33">
        <v>65</v>
      </c>
      <c r="C13" s="33">
        <v>74</v>
      </c>
      <c r="D13" s="33">
        <v>23</v>
      </c>
      <c r="E13" s="33">
        <v>4</v>
      </c>
      <c r="F13" s="33">
        <v>0</v>
      </c>
      <c r="G13" s="111">
        <f>SUM(Table_Default__XLS_TAB_25_2102[[#This Row],[BAAN_SMALLERQATAR]:[Column1]])</f>
        <v>166</v>
      </c>
      <c r="H13" s="52">
        <f t="shared" si="0"/>
        <v>23.119777158774376</v>
      </c>
      <c r="I13" s="911" t="s">
        <v>125</v>
      </c>
    </row>
    <row r="14" spans="1:9" ht="16.5" thickBot="1">
      <c r="A14" s="19" t="s">
        <v>1266</v>
      </c>
      <c r="B14" s="33">
        <v>41</v>
      </c>
      <c r="C14" s="33">
        <v>53</v>
      </c>
      <c r="D14" s="33">
        <v>9</v>
      </c>
      <c r="E14" s="33">
        <v>3</v>
      </c>
      <c r="F14" s="33">
        <v>0</v>
      </c>
      <c r="G14" s="111">
        <f>SUM(Table_Default__XLS_TAB_25_2102[[#This Row],[BAAN_SMALLERQATAR]:[Column1]])</f>
        <v>106</v>
      </c>
      <c r="H14" s="53">
        <f t="shared" si="0"/>
        <v>14.763231197771589</v>
      </c>
      <c r="I14" s="910" t="s">
        <v>124</v>
      </c>
    </row>
    <row r="15" spans="1:9" ht="16.5" thickBot="1">
      <c r="A15" s="16" t="s">
        <v>1267</v>
      </c>
      <c r="B15" s="33">
        <v>43</v>
      </c>
      <c r="C15" s="33">
        <v>33</v>
      </c>
      <c r="D15" s="33">
        <v>13</v>
      </c>
      <c r="E15" s="33">
        <v>4</v>
      </c>
      <c r="F15" s="33">
        <v>0</v>
      </c>
      <c r="G15" s="111">
        <f>SUM(Table_Default__XLS_TAB_25_2102[[#This Row],[BAAN_SMALLERQATAR]:[Column1]])</f>
        <v>93</v>
      </c>
      <c r="H15" s="52">
        <f t="shared" si="0"/>
        <v>12.952646239554317</v>
      </c>
      <c r="I15" s="911" t="s">
        <v>123</v>
      </c>
    </row>
    <row r="16" spans="1:9" ht="16.5" thickBot="1">
      <c r="A16" s="19" t="s">
        <v>1268</v>
      </c>
      <c r="B16" s="33">
        <v>21</v>
      </c>
      <c r="C16" s="33">
        <v>18</v>
      </c>
      <c r="D16" s="33">
        <v>7</v>
      </c>
      <c r="E16" s="33">
        <v>3</v>
      </c>
      <c r="F16" s="33">
        <v>0</v>
      </c>
      <c r="G16" s="111">
        <f>SUM(Table_Default__XLS_TAB_25_2102[[#This Row],[BAAN_SMALLERQATAR]:[Column1]])</f>
        <v>49</v>
      </c>
      <c r="H16" s="53">
        <f t="shared" si="0"/>
        <v>6.8245125348189415</v>
      </c>
      <c r="I16" s="910" t="s">
        <v>122</v>
      </c>
    </row>
    <row r="17" spans="1:9" ht="16.5" thickBot="1">
      <c r="A17" s="16" t="s">
        <v>1269</v>
      </c>
      <c r="B17" s="33">
        <v>13</v>
      </c>
      <c r="C17" s="33">
        <v>14</v>
      </c>
      <c r="D17" s="33">
        <v>4</v>
      </c>
      <c r="E17" s="33">
        <v>3</v>
      </c>
      <c r="F17" s="33">
        <v>0</v>
      </c>
      <c r="G17" s="111">
        <f>SUM(Table_Default__XLS_TAB_25_2102[[#This Row],[BAAN_SMALLERQATAR]:[Column1]])</f>
        <v>34</v>
      </c>
      <c r="H17" s="52">
        <f t="shared" si="0"/>
        <v>4.7353760445682456</v>
      </c>
      <c r="I17" s="911" t="s">
        <v>121</v>
      </c>
    </row>
    <row r="18" spans="1:9" ht="16.5" thickBot="1">
      <c r="A18" s="19" t="s">
        <v>1282</v>
      </c>
      <c r="B18" s="33">
        <v>7</v>
      </c>
      <c r="C18" s="33">
        <v>6</v>
      </c>
      <c r="D18" s="33">
        <v>1</v>
      </c>
      <c r="E18" s="33">
        <v>0</v>
      </c>
      <c r="F18" s="33">
        <v>0</v>
      </c>
      <c r="G18" s="111">
        <f>SUM(Table_Default__XLS_TAB_25_2102[[#This Row],[BAAN_SMALLERQATAR]:[Column1]])</f>
        <v>14</v>
      </c>
      <c r="H18" s="53">
        <f t="shared" si="0"/>
        <v>1.9498607242339834</v>
      </c>
      <c r="I18" s="910" t="s">
        <v>120</v>
      </c>
    </row>
    <row r="19" spans="1:9" ht="16.5" thickBot="1">
      <c r="A19" s="16" t="s">
        <v>1283</v>
      </c>
      <c r="B19" s="33">
        <v>1</v>
      </c>
      <c r="C19" s="33">
        <v>1</v>
      </c>
      <c r="D19" s="33">
        <v>1</v>
      </c>
      <c r="E19" s="33">
        <v>0</v>
      </c>
      <c r="F19" s="33">
        <v>0</v>
      </c>
      <c r="G19" s="111">
        <f>SUM(Table_Default__XLS_TAB_25_2102[[#This Row],[BAAN_SMALLERQATAR]:[Column1]])</f>
        <v>3</v>
      </c>
      <c r="H19" s="52">
        <f t="shared" si="0"/>
        <v>0.4178272980501393</v>
      </c>
      <c r="I19" s="911" t="s">
        <v>119</v>
      </c>
    </row>
    <row r="20" spans="1:9" ht="16.5" thickBot="1">
      <c r="A20" s="19" t="s">
        <v>1284</v>
      </c>
      <c r="B20" s="33">
        <v>1</v>
      </c>
      <c r="C20" s="33">
        <v>1</v>
      </c>
      <c r="D20" s="33">
        <v>0</v>
      </c>
      <c r="E20" s="33">
        <v>0</v>
      </c>
      <c r="F20" s="33">
        <v>0</v>
      </c>
      <c r="G20" s="111">
        <f>SUM(Table_Default__XLS_TAB_25_2102[[#This Row],[BAAN_SMALLERQATAR]:[Column1]])</f>
        <v>2</v>
      </c>
      <c r="H20" s="53">
        <f t="shared" si="0"/>
        <v>0.2785515320334262</v>
      </c>
      <c r="I20" s="910" t="s">
        <v>118</v>
      </c>
    </row>
    <row r="21" spans="1:9" ht="16.5" thickBot="1">
      <c r="A21" s="16" t="s">
        <v>117</v>
      </c>
      <c r="B21" s="33">
        <v>0</v>
      </c>
      <c r="C21" s="33">
        <v>1</v>
      </c>
      <c r="D21" s="33">
        <v>0</v>
      </c>
      <c r="E21" s="33">
        <v>1</v>
      </c>
      <c r="F21" s="33">
        <v>0</v>
      </c>
      <c r="G21" s="111">
        <f>SUM(Table_Default__XLS_TAB_25_2102[[#This Row],[BAAN_SMALLERQATAR]:[Column1]])</f>
        <v>2</v>
      </c>
      <c r="H21" s="52">
        <f t="shared" si="0"/>
        <v>0.2785515320334262</v>
      </c>
      <c r="I21" s="911" t="s">
        <v>1285</v>
      </c>
    </row>
    <row r="22" spans="1:9" ht="15.75">
      <c r="A22" s="76" t="s">
        <v>15</v>
      </c>
      <c r="B22" s="237">
        <v>18</v>
      </c>
      <c r="C22" s="237">
        <v>3</v>
      </c>
      <c r="D22" s="237">
        <v>2</v>
      </c>
      <c r="E22" s="237">
        <v>0</v>
      </c>
      <c r="F22" s="237">
        <v>0</v>
      </c>
      <c r="G22" s="492">
        <f>SUM(Table_Default__XLS_TAB_25_2102[[#This Row],[BAAN_SMALLERQATAR]:[Column1]])</f>
        <v>23</v>
      </c>
      <c r="H22" s="51">
        <f t="shared" si="0"/>
        <v>3.2033426183844012</v>
      </c>
      <c r="I22" s="913" t="s">
        <v>16</v>
      </c>
    </row>
    <row r="23" spans="1:9" ht="20.100000000000001" customHeight="1">
      <c r="A23" s="50" t="s">
        <v>17</v>
      </c>
      <c r="B23" s="396">
        <f>SUM(B9:B22)</f>
        <v>281</v>
      </c>
      <c r="C23" s="396">
        <f>SUM(C9:C22)</f>
        <v>310</v>
      </c>
      <c r="D23" s="396">
        <f>SUM(D9:D22)</f>
        <v>106</v>
      </c>
      <c r="E23" s="396">
        <f>SUM(E9:E22)</f>
        <v>21</v>
      </c>
      <c r="F23" s="396">
        <f t="shared" ref="F23" si="1">SUM(F9:F22)</f>
        <v>0</v>
      </c>
      <c r="G23" s="396">
        <f>SUM(G9:G22)</f>
        <v>718</v>
      </c>
      <c r="H23" s="74">
        <f t="shared" ref="H23" si="2">SUM(H9:H22)</f>
        <v>100</v>
      </c>
      <c r="I23" s="40" t="s">
        <v>56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23"/>
  <sheetViews>
    <sheetView rightToLeft="1" view="pageBreakPreview" topLeftCell="A4" zoomScaleNormal="100" zoomScaleSheetLayoutView="100" workbookViewId="0">
      <selection activeCell="M18" sqref="M18"/>
    </sheetView>
  </sheetViews>
  <sheetFormatPr defaultColWidth="9.140625" defaultRowHeight="12.75"/>
  <cols>
    <col min="1" max="1" width="22.85546875" style="1" customWidth="1"/>
    <col min="2" max="5" width="13.85546875" style="1" customWidth="1"/>
    <col min="6" max="6" width="12.85546875" style="1" customWidth="1"/>
    <col min="7" max="7" width="12.42578125" style="1" customWidth="1"/>
    <col min="8" max="8" width="13.42578125" style="1" customWidth="1"/>
    <col min="9" max="9" width="27.140625" style="1" customWidth="1"/>
    <col min="10" max="16384" width="9.140625" style="1"/>
  </cols>
  <sheetData>
    <row r="1" spans="1:9" ht="24" customHeight="1">
      <c r="A1" s="1097" t="s">
        <v>313</v>
      </c>
      <c r="B1" s="1097"/>
      <c r="C1" s="1097"/>
      <c r="D1" s="1097"/>
      <c r="E1" s="1097"/>
      <c r="F1" s="1097"/>
      <c r="G1" s="1097"/>
      <c r="H1" s="1097"/>
      <c r="I1" s="1097"/>
    </row>
    <row r="2" spans="1:9" ht="15.75" customHeight="1">
      <c r="A2" s="1050" t="s">
        <v>312</v>
      </c>
      <c r="B2" s="1050"/>
      <c r="C2" s="1050"/>
      <c r="D2" s="1050"/>
      <c r="E2" s="1050"/>
      <c r="F2" s="1050"/>
      <c r="G2" s="1050"/>
      <c r="H2" s="1050"/>
      <c r="I2" s="1050"/>
    </row>
    <row r="3" spans="1:9" ht="15.75" customHeight="1">
      <c r="A3" s="1050">
        <v>2019</v>
      </c>
      <c r="B3" s="1050"/>
      <c r="C3" s="1050"/>
      <c r="D3" s="1050"/>
      <c r="E3" s="1050"/>
      <c r="F3" s="1050"/>
      <c r="G3" s="1050"/>
      <c r="H3" s="1050"/>
      <c r="I3" s="1050"/>
    </row>
    <row r="4" spans="1:9" ht="18.75" customHeight="1">
      <c r="A4" s="1050" t="s">
        <v>1</v>
      </c>
      <c r="B4" s="1050"/>
      <c r="C4" s="1050"/>
      <c r="D4" s="1050"/>
      <c r="E4" s="1050"/>
      <c r="F4" s="1050"/>
      <c r="G4" s="1050"/>
      <c r="H4" s="1050"/>
      <c r="I4" s="1050"/>
    </row>
    <row r="5" spans="1:9" ht="18.75" customHeight="1">
      <c r="A5" s="372"/>
      <c r="B5" s="372"/>
      <c r="C5" s="372"/>
      <c r="D5" s="372"/>
      <c r="E5" s="372"/>
      <c r="F5" s="393"/>
      <c r="G5" s="372"/>
      <c r="H5" s="372"/>
      <c r="I5" s="372"/>
    </row>
    <row r="6" spans="1:9" s="31" customFormat="1" ht="16.5">
      <c r="A6" s="362" t="s">
        <v>334</v>
      </c>
      <c r="B6" s="363"/>
      <c r="C6" s="364"/>
      <c r="D6" s="364"/>
      <c r="E6" s="364"/>
      <c r="F6" s="364"/>
      <c r="G6" s="369"/>
      <c r="H6" s="369"/>
      <c r="I6" s="369" t="s">
        <v>333</v>
      </c>
    </row>
    <row r="7" spans="1:9" ht="27.75" customHeight="1" thickBot="1">
      <c r="A7" s="1150" t="s">
        <v>311</v>
      </c>
      <c r="B7" s="1143" t="s">
        <v>305</v>
      </c>
      <c r="C7" s="1143"/>
      <c r="D7" s="1143"/>
      <c r="E7" s="1143"/>
      <c r="F7" s="1143"/>
      <c r="G7" s="1143"/>
      <c r="H7" s="1093" t="s">
        <v>633</v>
      </c>
      <c r="I7" s="1095" t="s">
        <v>310</v>
      </c>
    </row>
    <row r="8" spans="1:9" ht="58.5" customHeight="1">
      <c r="A8" s="1153"/>
      <c r="B8" s="511" t="s">
        <v>639</v>
      </c>
      <c r="C8" s="511" t="s">
        <v>640</v>
      </c>
      <c r="D8" s="511" t="s">
        <v>641</v>
      </c>
      <c r="E8" s="511" t="s">
        <v>1281</v>
      </c>
      <c r="F8" s="511" t="s">
        <v>611</v>
      </c>
      <c r="G8" s="508" t="s">
        <v>108</v>
      </c>
      <c r="H8" s="1094"/>
      <c r="I8" s="1096"/>
    </row>
    <row r="9" spans="1:9" ht="16.5" thickBot="1">
      <c r="A9" s="736">
        <v>-20</v>
      </c>
      <c r="B9" s="227">
        <v>0</v>
      </c>
      <c r="C9" s="35">
        <v>1</v>
      </c>
      <c r="D9" s="35">
        <v>0</v>
      </c>
      <c r="E9" s="35">
        <v>0</v>
      </c>
      <c r="F9" s="228">
        <v>0</v>
      </c>
      <c r="G9" s="111">
        <f>SUM(Table_Default__XLS_TAB_25_3103[[#This Row],[BAAN_SMALLERQATAR]:[Column1]])</f>
        <v>1</v>
      </c>
      <c r="H9" s="829">
        <f t="shared" ref="H9:H22" si="0">G9/$G$23%</f>
        <v>5.4555373704309879E-2</v>
      </c>
      <c r="I9" s="909">
        <v>-20</v>
      </c>
    </row>
    <row r="10" spans="1:9" ht="16.5" thickBot="1">
      <c r="A10" s="19" t="s">
        <v>1262</v>
      </c>
      <c r="B10" s="234">
        <v>36</v>
      </c>
      <c r="C10" s="33">
        <v>57</v>
      </c>
      <c r="D10" s="33">
        <v>19</v>
      </c>
      <c r="E10" s="33">
        <v>0</v>
      </c>
      <c r="F10" s="235">
        <v>0</v>
      </c>
      <c r="G10" s="111">
        <f>SUM(Table_Default__XLS_TAB_25_3103[[#This Row],[BAAN_SMALLERQATAR]:[Column1]])</f>
        <v>112</v>
      </c>
      <c r="H10" s="53">
        <f t="shared" si="0"/>
        <v>6.1102018548827068</v>
      </c>
      <c r="I10" s="910" t="s">
        <v>128</v>
      </c>
    </row>
    <row r="11" spans="1:9" ht="16.5" thickBot="1">
      <c r="A11" s="16" t="s">
        <v>1263</v>
      </c>
      <c r="B11" s="234">
        <v>130</v>
      </c>
      <c r="C11" s="33">
        <v>170</v>
      </c>
      <c r="D11" s="33">
        <v>37</v>
      </c>
      <c r="E11" s="33">
        <v>7</v>
      </c>
      <c r="F11" s="235">
        <v>0</v>
      </c>
      <c r="G11" s="111">
        <f>SUM(Table_Default__XLS_TAB_25_3103[[#This Row],[BAAN_SMALLERQATAR]:[Column1]])</f>
        <v>344</v>
      </c>
      <c r="H11" s="52">
        <f t="shared" si="0"/>
        <v>18.767048554282599</v>
      </c>
      <c r="I11" s="911" t="s">
        <v>127</v>
      </c>
    </row>
    <row r="12" spans="1:9" ht="16.5" thickBot="1">
      <c r="A12" s="19" t="s">
        <v>1264</v>
      </c>
      <c r="B12" s="234">
        <v>123</v>
      </c>
      <c r="C12" s="33">
        <v>163</v>
      </c>
      <c r="D12" s="33">
        <v>39</v>
      </c>
      <c r="E12" s="33">
        <v>5</v>
      </c>
      <c r="F12" s="235">
        <v>0</v>
      </c>
      <c r="G12" s="111">
        <f>SUM(Table_Default__XLS_TAB_25_3103[[#This Row],[BAAN_SMALLERQATAR]:[Column1]])</f>
        <v>330</v>
      </c>
      <c r="H12" s="53">
        <f t="shared" si="0"/>
        <v>18.00327332242226</v>
      </c>
      <c r="I12" s="910" t="s">
        <v>126</v>
      </c>
    </row>
    <row r="13" spans="1:9" ht="16.5" thickBot="1">
      <c r="A13" s="16" t="s">
        <v>1265</v>
      </c>
      <c r="B13" s="234">
        <v>148</v>
      </c>
      <c r="C13" s="33">
        <v>140</v>
      </c>
      <c r="D13" s="33">
        <v>33</v>
      </c>
      <c r="E13" s="33">
        <v>10</v>
      </c>
      <c r="F13" s="235">
        <v>0</v>
      </c>
      <c r="G13" s="111">
        <f>SUM(Table_Default__XLS_TAB_25_3103[[#This Row],[BAAN_SMALLERQATAR]:[Column1]])</f>
        <v>331</v>
      </c>
      <c r="H13" s="52">
        <f t="shared" si="0"/>
        <v>18.05782869612657</v>
      </c>
      <c r="I13" s="911" t="s">
        <v>125</v>
      </c>
    </row>
    <row r="14" spans="1:9" ht="16.5" thickBot="1">
      <c r="A14" s="19" t="s">
        <v>1266</v>
      </c>
      <c r="B14" s="234">
        <v>92</v>
      </c>
      <c r="C14" s="33">
        <v>105</v>
      </c>
      <c r="D14" s="33">
        <v>19</v>
      </c>
      <c r="E14" s="33">
        <v>6</v>
      </c>
      <c r="F14" s="235">
        <v>0</v>
      </c>
      <c r="G14" s="111">
        <f>SUM(Table_Default__XLS_TAB_25_3103[[#This Row],[BAAN_SMALLERQATAR]:[Column1]])</f>
        <v>222</v>
      </c>
      <c r="H14" s="53">
        <f t="shared" si="0"/>
        <v>12.111292962356794</v>
      </c>
      <c r="I14" s="910" t="s">
        <v>124</v>
      </c>
    </row>
    <row r="15" spans="1:9" ht="16.5" thickBot="1">
      <c r="A15" s="16" t="s">
        <v>1267</v>
      </c>
      <c r="B15" s="234">
        <v>98</v>
      </c>
      <c r="C15" s="33">
        <v>64</v>
      </c>
      <c r="D15" s="33">
        <v>18</v>
      </c>
      <c r="E15" s="33">
        <v>7</v>
      </c>
      <c r="F15" s="235">
        <v>0</v>
      </c>
      <c r="G15" s="111">
        <f>SUM(Table_Default__XLS_TAB_25_3103[[#This Row],[BAAN_SMALLERQATAR]:[Column1]])</f>
        <v>187</v>
      </c>
      <c r="H15" s="52">
        <f t="shared" si="0"/>
        <v>10.201854882705948</v>
      </c>
      <c r="I15" s="911" t="s">
        <v>123</v>
      </c>
    </row>
    <row r="16" spans="1:9" ht="16.5" thickBot="1">
      <c r="A16" s="19" t="s">
        <v>1268</v>
      </c>
      <c r="B16" s="234">
        <v>59</v>
      </c>
      <c r="C16" s="33">
        <v>49</v>
      </c>
      <c r="D16" s="33">
        <v>12</v>
      </c>
      <c r="E16" s="33">
        <v>6</v>
      </c>
      <c r="F16" s="235">
        <v>0</v>
      </c>
      <c r="G16" s="111">
        <f>SUM(Table_Default__XLS_TAB_25_3103[[#This Row],[BAAN_SMALLERQATAR]:[Column1]])</f>
        <v>126</v>
      </c>
      <c r="H16" s="53">
        <f t="shared" si="0"/>
        <v>6.8739770867430448</v>
      </c>
      <c r="I16" s="910" t="s">
        <v>122</v>
      </c>
    </row>
    <row r="17" spans="1:9" ht="16.5" thickBot="1">
      <c r="A17" s="16" t="s">
        <v>1269</v>
      </c>
      <c r="B17" s="234">
        <v>35</v>
      </c>
      <c r="C17" s="33">
        <v>34</v>
      </c>
      <c r="D17" s="33">
        <v>7</v>
      </c>
      <c r="E17" s="33">
        <v>3</v>
      </c>
      <c r="F17" s="235">
        <v>0</v>
      </c>
      <c r="G17" s="111">
        <f>SUM(Table_Default__XLS_TAB_25_3103[[#This Row],[BAAN_SMALLERQATAR]:[Column1]])</f>
        <v>79</v>
      </c>
      <c r="H17" s="52">
        <f t="shared" si="0"/>
        <v>4.3098745226404809</v>
      </c>
      <c r="I17" s="911" t="s">
        <v>121</v>
      </c>
    </row>
    <row r="18" spans="1:9" ht="16.5" thickBot="1">
      <c r="A18" s="19" t="s">
        <v>1282</v>
      </c>
      <c r="B18" s="234">
        <v>21</v>
      </c>
      <c r="C18" s="33">
        <v>18</v>
      </c>
      <c r="D18" s="33">
        <v>4</v>
      </c>
      <c r="E18" s="33">
        <v>1</v>
      </c>
      <c r="F18" s="235">
        <v>0</v>
      </c>
      <c r="G18" s="111">
        <f>SUM(Table_Default__XLS_TAB_25_3103[[#This Row],[BAAN_SMALLERQATAR]:[Column1]])</f>
        <v>44</v>
      </c>
      <c r="H18" s="53">
        <f t="shared" si="0"/>
        <v>2.4004364429896348</v>
      </c>
      <c r="I18" s="910" t="s">
        <v>120</v>
      </c>
    </row>
    <row r="19" spans="1:9" ht="16.5" thickBot="1">
      <c r="A19" s="16" t="s">
        <v>1283</v>
      </c>
      <c r="B19" s="234">
        <v>7</v>
      </c>
      <c r="C19" s="33">
        <v>10</v>
      </c>
      <c r="D19" s="33">
        <v>1</v>
      </c>
      <c r="E19" s="33">
        <v>0</v>
      </c>
      <c r="F19" s="235">
        <v>0</v>
      </c>
      <c r="G19" s="111">
        <f>SUM(Table_Default__XLS_TAB_25_3103[[#This Row],[BAAN_SMALLERQATAR]:[Column1]])</f>
        <v>18</v>
      </c>
      <c r="H19" s="52">
        <f t="shared" si="0"/>
        <v>0.98199672667757787</v>
      </c>
      <c r="I19" s="911" t="s">
        <v>119</v>
      </c>
    </row>
    <row r="20" spans="1:9" ht="16.5" thickBot="1">
      <c r="A20" s="19" t="s">
        <v>1284</v>
      </c>
      <c r="B20" s="234">
        <v>7</v>
      </c>
      <c r="C20" s="33">
        <v>4</v>
      </c>
      <c r="D20" s="33">
        <v>0</v>
      </c>
      <c r="E20" s="33">
        <v>0</v>
      </c>
      <c r="F20" s="235">
        <v>0</v>
      </c>
      <c r="G20" s="111">
        <f>SUM(Table_Default__XLS_TAB_25_3103[[#This Row],[BAAN_SMALLERQATAR]:[Column1]])</f>
        <v>11</v>
      </c>
      <c r="H20" s="53">
        <f t="shared" si="0"/>
        <v>0.60010911074740869</v>
      </c>
      <c r="I20" s="910" t="s">
        <v>118</v>
      </c>
    </row>
    <row r="21" spans="1:9" ht="16.5" thickBot="1">
      <c r="A21" s="16" t="s">
        <v>117</v>
      </c>
      <c r="B21" s="234">
        <v>0</v>
      </c>
      <c r="C21" s="33">
        <v>4</v>
      </c>
      <c r="D21" s="33">
        <v>0</v>
      </c>
      <c r="E21" s="33">
        <v>1</v>
      </c>
      <c r="F21" s="235">
        <v>0</v>
      </c>
      <c r="G21" s="111">
        <f>SUM(Table_Default__XLS_TAB_25_3103[[#This Row],[BAAN_SMALLERQATAR]:[Column1]])</f>
        <v>5</v>
      </c>
      <c r="H21" s="52">
        <f t="shared" si="0"/>
        <v>0.27277686852154942</v>
      </c>
      <c r="I21" s="911" t="s">
        <v>1285</v>
      </c>
    </row>
    <row r="22" spans="1:9" ht="16.5" thickBot="1">
      <c r="A22" s="76" t="s">
        <v>15</v>
      </c>
      <c r="B22" s="236">
        <v>18</v>
      </c>
      <c r="C22" s="237">
        <v>3</v>
      </c>
      <c r="D22" s="237">
        <v>2</v>
      </c>
      <c r="E22" s="237">
        <v>0</v>
      </c>
      <c r="F22" s="238">
        <v>0</v>
      </c>
      <c r="G22" s="111">
        <f>SUM(Table_Default__XLS_TAB_25_3103[[#This Row],[BAAN_SMALLERQATAR]:[Column1]])</f>
        <v>23</v>
      </c>
      <c r="H22" s="233">
        <f t="shared" si="0"/>
        <v>1.2547735951991272</v>
      </c>
      <c r="I22" s="912" t="s">
        <v>16</v>
      </c>
    </row>
    <row r="23" spans="1:9" ht="20.100000000000001" customHeight="1">
      <c r="A23" s="908" t="s">
        <v>17</v>
      </c>
      <c r="B23" s="105">
        <f>SUM(B9:B22)</f>
        <v>774</v>
      </c>
      <c r="C23" s="105">
        <f t="shared" ref="C23:F23" si="1">SUM(C9:C22)</f>
        <v>822</v>
      </c>
      <c r="D23" s="105">
        <f t="shared" si="1"/>
        <v>191</v>
      </c>
      <c r="E23" s="105">
        <f t="shared" si="1"/>
        <v>46</v>
      </c>
      <c r="F23" s="105">
        <f t="shared" si="1"/>
        <v>0</v>
      </c>
      <c r="G23" s="105">
        <f>SUM(G9:G22)</f>
        <v>1833</v>
      </c>
      <c r="H23" s="232">
        <f t="shared" ref="H23" si="2">SUM(H9:H22)</f>
        <v>100</v>
      </c>
      <c r="I23" s="93" t="s">
        <v>56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20"/>
  <sheetViews>
    <sheetView rightToLeft="1" view="pageBreakPreview" topLeftCell="A4" zoomScaleNormal="100" zoomScaleSheetLayoutView="100" workbookViewId="0">
      <selection activeCell="M18" sqref="M18"/>
    </sheetView>
  </sheetViews>
  <sheetFormatPr defaultColWidth="9.140625" defaultRowHeight="12.75"/>
  <cols>
    <col min="1" max="1" width="19.42578125" style="1" customWidth="1"/>
    <col min="2" max="7" width="13.85546875" style="1" customWidth="1"/>
    <col min="8" max="8" width="13.42578125" style="1" customWidth="1"/>
    <col min="9" max="9" width="19.5703125" style="1" customWidth="1"/>
    <col min="10" max="16384" width="9.140625" style="1"/>
  </cols>
  <sheetData>
    <row r="1" spans="1:9" ht="24" customHeight="1">
      <c r="A1" s="1097" t="s">
        <v>317</v>
      </c>
      <c r="B1" s="1097"/>
      <c r="C1" s="1097"/>
      <c r="D1" s="1097"/>
      <c r="E1" s="1097"/>
      <c r="F1" s="1097"/>
      <c r="G1" s="1097"/>
      <c r="H1" s="1097"/>
      <c r="I1" s="1097"/>
    </row>
    <row r="2" spans="1:9" ht="15.75" customHeight="1">
      <c r="A2" s="1050" t="s">
        <v>316</v>
      </c>
      <c r="B2" s="1050"/>
      <c r="C2" s="1050"/>
      <c r="D2" s="1050"/>
      <c r="E2" s="1050"/>
      <c r="F2" s="1050"/>
      <c r="G2" s="1050"/>
      <c r="H2" s="1050"/>
      <c r="I2" s="1050"/>
    </row>
    <row r="3" spans="1:9" ht="15.75" customHeight="1">
      <c r="A3" s="1050">
        <v>2019</v>
      </c>
      <c r="B3" s="1050"/>
      <c r="C3" s="1050"/>
      <c r="D3" s="1050"/>
      <c r="E3" s="1050"/>
      <c r="F3" s="1050"/>
      <c r="G3" s="1050"/>
      <c r="H3" s="1050"/>
      <c r="I3" s="1050"/>
    </row>
    <row r="4" spans="1:9" ht="18.75" customHeight="1">
      <c r="A4" s="1050" t="s">
        <v>172</v>
      </c>
      <c r="B4" s="1050"/>
      <c r="C4" s="1050"/>
      <c r="D4" s="1050"/>
      <c r="E4" s="1050"/>
      <c r="F4" s="1050"/>
      <c r="G4" s="1050"/>
      <c r="H4" s="1050"/>
      <c r="I4" s="1050"/>
    </row>
    <row r="5" spans="1:9" ht="18.75" customHeight="1">
      <c r="A5" s="372"/>
      <c r="B5" s="372"/>
      <c r="C5" s="372"/>
      <c r="D5" s="372"/>
      <c r="E5" s="372"/>
      <c r="F5" s="393"/>
      <c r="G5" s="372"/>
      <c r="H5" s="372"/>
      <c r="I5" s="372"/>
    </row>
    <row r="6" spans="1:9" s="31" customFormat="1" ht="16.5">
      <c r="A6" s="362" t="s">
        <v>336</v>
      </c>
      <c r="B6" s="363"/>
      <c r="C6" s="364"/>
      <c r="D6" s="364"/>
      <c r="E6" s="364"/>
      <c r="F6" s="364"/>
      <c r="G6" s="369"/>
      <c r="H6" s="369"/>
      <c r="I6" s="369" t="s">
        <v>335</v>
      </c>
    </row>
    <row r="7" spans="1:9" ht="27.75" customHeight="1" thickBot="1">
      <c r="A7" s="1150" t="s">
        <v>315</v>
      </c>
      <c r="B7" s="1143" t="s">
        <v>305</v>
      </c>
      <c r="C7" s="1143"/>
      <c r="D7" s="1143"/>
      <c r="E7" s="1143"/>
      <c r="F7" s="1143"/>
      <c r="G7" s="1143"/>
      <c r="H7" s="1093" t="s">
        <v>634</v>
      </c>
      <c r="I7" s="1095" t="s">
        <v>314</v>
      </c>
    </row>
    <row r="8" spans="1:9" ht="57.75" customHeight="1">
      <c r="A8" s="1153"/>
      <c r="B8" s="511" t="s">
        <v>639</v>
      </c>
      <c r="C8" s="511" t="s">
        <v>640</v>
      </c>
      <c r="D8" s="511" t="s">
        <v>641</v>
      </c>
      <c r="E8" s="511" t="s">
        <v>1281</v>
      </c>
      <c r="F8" s="511" t="s">
        <v>611</v>
      </c>
      <c r="G8" s="508" t="s">
        <v>108</v>
      </c>
      <c r="H8" s="1094"/>
      <c r="I8" s="1096"/>
    </row>
    <row r="9" spans="1:9" ht="19.5" customHeight="1" thickBot="1">
      <c r="A9" s="736">
        <v>-20</v>
      </c>
      <c r="B9" s="227">
        <v>2</v>
      </c>
      <c r="C9" s="35">
        <v>2</v>
      </c>
      <c r="D9" s="35">
        <v>0</v>
      </c>
      <c r="E9" s="35">
        <v>0</v>
      </c>
      <c r="F9" s="228">
        <v>0</v>
      </c>
      <c r="G9" s="111">
        <f>SUM(Table_Default__XLS_TAB_26_287104[[#This Row],[BAAN_SMALLERQATAR]:[Column1]])</f>
        <v>4</v>
      </c>
      <c r="H9" s="829">
        <f t="shared" ref="H9:H19" si="0">G9/$G$20%</f>
        <v>0.40322580645161293</v>
      </c>
      <c r="I9" s="909">
        <v>-20</v>
      </c>
    </row>
    <row r="10" spans="1:9" ht="19.5" customHeight="1" thickBot="1">
      <c r="A10" s="19" t="s">
        <v>1262</v>
      </c>
      <c r="B10" s="234">
        <v>36</v>
      </c>
      <c r="C10" s="33">
        <v>61</v>
      </c>
      <c r="D10" s="33">
        <v>12</v>
      </c>
      <c r="E10" s="33">
        <v>0</v>
      </c>
      <c r="F10" s="235">
        <v>0</v>
      </c>
      <c r="G10" s="111">
        <f>SUM(Table_Default__XLS_TAB_26_287104[[#This Row],[BAAN_SMALLERQATAR]:[Column1]])</f>
        <v>109</v>
      </c>
      <c r="H10" s="53">
        <f t="shared" si="0"/>
        <v>10.987903225806452</v>
      </c>
      <c r="I10" s="910" t="s">
        <v>128</v>
      </c>
    </row>
    <row r="11" spans="1:9" ht="19.5" customHeight="1" thickBot="1">
      <c r="A11" s="16" t="s">
        <v>1263</v>
      </c>
      <c r="B11" s="234">
        <v>97</v>
      </c>
      <c r="C11" s="33">
        <v>107</v>
      </c>
      <c r="D11" s="33">
        <v>29</v>
      </c>
      <c r="E11" s="33">
        <v>2</v>
      </c>
      <c r="F11" s="235">
        <v>0</v>
      </c>
      <c r="G11" s="111">
        <f>SUM(Table_Default__XLS_TAB_26_287104[[#This Row],[BAAN_SMALLERQATAR]:[Column1]])</f>
        <v>235</v>
      </c>
      <c r="H11" s="52">
        <f t="shared" si="0"/>
        <v>23.68951612903226</v>
      </c>
      <c r="I11" s="911" t="s">
        <v>127</v>
      </c>
    </row>
    <row r="12" spans="1:9" ht="19.5" customHeight="1" thickBot="1">
      <c r="A12" s="19" t="s">
        <v>1264</v>
      </c>
      <c r="B12" s="234">
        <v>104</v>
      </c>
      <c r="C12" s="33">
        <v>88</v>
      </c>
      <c r="D12" s="33">
        <v>11</v>
      </c>
      <c r="E12" s="33">
        <v>3</v>
      </c>
      <c r="F12" s="235">
        <v>0</v>
      </c>
      <c r="G12" s="111">
        <f>SUM(Table_Default__XLS_TAB_26_287104[[#This Row],[BAAN_SMALLERQATAR]:[Column1]])</f>
        <v>206</v>
      </c>
      <c r="H12" s="53">
        <f t="shared" si="0"/>
        <v>20.766129032258064</v>
      </c>
      <c r="I12" s="910" t="s">
        <v>126</v>
      </c>
    </row>
    <row r="13" spans="1:9" ht="19.5" customHeight="1" thickBot="1">
      <c r="A13" s="16" t="s">
        <v>1265</v>
      </c>
      <c r="B13" s="234">
        <v>59</v>
      </c>
      <c r="C13" s="33">
        <v>54</v>
      </c>
      <c r="D13" s="33">
        <v>17</v>
      </c>
      <c r="E13" s="33">
        <v>5</v>
      </c>
      <c r="F13" s="235">
        <v>0</v>
      </c>
      <c r="G13" s="111">
        <f>SUM(Table_Default__XLS_TAB_26_287104[[#This Row],[BAAN_SMALLERQATAR]:[Column1]])</f>
        <v>135</v>
      </c>
      <c r="H13" s="52">
        <f t="shared" si="0"/>
        <v>13.608870967741936</v>
      </c>
      <c r="I13" s="911" t="s">
        <v>125</v>
      </c>
    </row>
    <row r="14" spans="1:9" ht="19.5" customHeight="1" thickBot="1">
      <c r="A14" s="19" t="s">
        <v>1266</v>
      </c>
      <c r="B14" s="234">
        <v>50</v>
      </c>
      <c r="C14" s="33">
        <v>43</v>
      </c>
      <c r="D14" s="33">
        <v>11</v>
      </c>
      <c r="E14" s="33">
        <v>3</v>
      </c>
      <c r="F14" s="235">
        <v>0</v>
      </c>
      <c r="G14" s="111">
        <f>SUM(Table_Default__XLS_TAB_26_287104[[#This Row],[BAAN_SMALLERQATAR]:[Column1]])</f>
        <v>107</v>
      </c>
      <c r="H14" s="53">
        <f t="shared" si="0"/>
        <v>10.786290322580646</v>
      </c>
      <c r="I14" s="910" t="s">
        <v>124</v>
      </c>
    </row>
    <row r="15" spans="1:9" ht="19.5" customHeight="1" thickBot="1">
      <c r="A15" s="16" t="s">
        <v>1267</v>
      </c>
      <c r="B15" s="234">
        <v>54</v>
      </c>
      <c r="C15" s="33">
        <v>26</v>
      </c>
      <c r="D15" s="33">
        <v>6</v>
      </c>
      <c r="E15" s="33">
        <v>2</v>
      </c>
      <c r="F15" s="235">
        <v>0</v>
      </c>
      <c r="G15" s="111">
        <f>SUM(Table_Default__XLS_TAB_26_287104[[#This Row],[BAAN_SMALLERQATAR]:[Column1]])</f>
        <v>88</v>
      </c>
      <c r="H15" s="52">
        <f t="shared" si="0"/>
        <v>8.870967741935484</v>
      </c>
      <c r="I15" s="911" t="s">
        <v>123</v>
      </c>
    </row>
    <row r="16" spans="1:9" ht="19.5" customHeight="1" thickBot="1">
      <c r="A16" s="19" t="s">
        <v>1268</v>
      </c>
      <c r="B16" s="234">
        <v>31</v>
      </c>
      <c r="C16" s="33">
        <v>25</v>
      </c>
      <c r="D16" s="33">
        <v>4</v>
      </c>
      <c r="E16" s="33">
        <v>0</v>
      </c>
      <c r="F16" s="235">
        <v>0</v>
      </c>
      <c r="G16" s="111">
        <f>SUM(Table_Default__XLS_TAB_26_287104[[#This Row],[BAAN_SMALLERQATAR]:[Column1]])</f>
        <v>60</v>
      </c>
      <c r="H16" s="53">
        <f t="shared" si="0"/>
        <v>6.0483870967741939</v>
      </c>
      <c r="I16" s="910" t="s">
        <v>122</v>
      </c>
    </row>
    <row r="17" spans="1:9" ht="19.5" customHeight="1" thickBot="1">
      <c r="A17" s="16" t="s">
        <v>1269</v>
      </c>
      <c r="B17" s="234">
        <v>16</v>
      </c>
      <c r="C17" s="33">
        <v>15</v>
      </c>
      <c r="D17" s="33">
        <v>1</v>
      </c>
      <c r="E17" s="33">
        <v>0</v>
      </c>
      <c r="F17" s="235">
        <v>0</v>
      </c>
      <c r="G17" s="111">
        <f>SUM(Table_Default__XLS_TAB_26_287104[[#This Row],[BAAN_SMALLERQATAR]:[Column1]])</f>
        <v>32</v>
      </c>
      <c r="H17" s="52">
        <f t="shared" si="0"/>
        <v>3.2258064516129035</v>
      </c>
      <c r="I17" s="911" t="s">
        <v>121</v>
      </c>
    </row>
    <row r="18" spans="1:9" ht="19.5" customHeight="1" thickBot="1">
      <c r="A18" s="19" t="s">
        <v>133</v>
      </c>
      <c r="B18" s="234">
        <v>4</v>
      </c>
      <c r="C18" s="33">
        <v>11</v>
      </c>
      <c r="D18" s="33">
        <v>0</v>
      </c>
      <c r="E18" s="33">
        <v>1</v>
      </c>
      <c r="F18" s="235">
        <v>0</v>
      </c>
      <c r="G18" s="111">
        <f>SUM(Table_Default__XLS_TAB_26_287104[[#This Row],[BAAN_SMALLERQATAR]:[Column1]])</f>
        <v>16</v>
      </c>
      <c r="H18" s="53">
        <f t="shared" si="0"/>
        <v>1.6129032258064517</v>
      </c>
      <c r="I18" s="910" t="s">
        <v>1270</v>
      </c>
    </row>
    <row r="19" spans="1:9" ht="19.5" customHeight="1" thickBot="1">
      <c r="A19" s="239" t="s">
        <v>15</v>
      </c>
      <c r="B19" s="236">
        <v>0</v>
      </c>
      <c r="C19" s="237">
        <v>0</v>
      </c>
      <c r="D19" s="237">
        <v>0</v>
      </c>
      <c r="E19" s="237">
        <v>0</v>
      </c>
      <c r="F19" s="238">
        <v>0</v>
      </c>
      <c r="G19" s="111">
        <f>SUM(Table_Default__XLS_TAB_26_287104[[#This Row],[BAAN_SMALLERQATAR]:[Column1]])</f>
        <v>0</v>
      </c>
      <c r="H19" s="240">
        <f t="shared" si="0"/>
        <v>0</v>
      </c>
      <c r="I19" s="914" t="s">
        <v>16</v>
      </c>
    </row>
    <row r="20" spans="1:9" ht="19.5" customHeight="1">
      <c r="A20" s="79" t="s">
        <v>17</v>
      </c>
      <c r="B20" s="241">
        <f t="shared" ref="B20:G20" si="1">SUM(B9:B19)</f>
        <v>453</v>
      </c>
      <c r="C20" s="241">
        <f t="shared" si="1"/>
        <v>432</v>
      </c>
      <c r="D20" s="241">
        <f t="shared" si="1"/>
        <v>91</v>
      </c>
      <c r="E20" s="241">
        <f t="shared" si="1"/>
        <v>16</v>
      </c>
      <c r="F20" s="241">
        <f t="shared" si="1"/>
        <v>0</v>
      </c>
      <c r="G20" s="241">
        <f t="shared" si="1"/>
        <v>992</v>
      </c>
      <c r="H20" s="78">
        <f t="shared" ref="H20" si="2">SUM(H9:H19)</f>
        <v>99.999999999999986</v>
      </c>
      <c r="I20" s="77" t="s">
        <v>56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20"/>
  <sheetViews>
    <sheetView rightToLeft="1" view="pageBreakPreview" topLeftCell="A4" zoomScaleNormal="100" zoomScaleSheetLayoutView="100" workbookViewId="0">
      <selection activeCell="M18" sqref="M18"/>
    </sheetView>
  </sheetViews>
  <sheetFormatPr defaultColWidth="9.140625" defaultRowHeight="12.75"/>
  <cols>
    <col min="1" max="1" width="19.42578125" style="1" customWidth="1"/>
    <col min="2" max="7" width="13.85546875" style="1" customWidth="1"/>
    <col min="8" max="8" width="13.42578125" style="1" customWidth="1"/>
    <col min="9" max="9" width="19.5703125" style="1" customWidth="1"/>
    <col min="10" max="16384" width="9.140625" style="1"/>
  </cols>
  <sheetData>
    <row r="1" spans="1:9" ht="24" customHeight="1">
      <c r="A1" s="1097" t="s">
        <v>317</v>
      </c>
      <c r="B1" s="1097"/>
      <c r="C1" s="1097"/>
      <c r="D1" s="1097"/>
      <c r="E1" s="1097"/>
      <c r="F1" s="1097"/>
      <c r="G1" s="1097"/>
      <c r="H1" s="1097"/>
      <c r="I1" s="1097"/>
    </row>
    <row r="2" spans="1:9" ht="15.75" customHeight="1">
      <c r="A2" s="1050" t="s">
        <v>316</v>
      </c>
      <c r="B2" s="1050"/>
      <c r="C2" s="1050"/>
      <c r="D2" s="1050"/>
      <c r="E2" s="1050"/>
      <c r="F2" s="1050"/>
      <c r="G2" s="1050"/>
      <c r="H2" s="1050"/>
      <c r="I2" s="1050"/>
    </row>
    <row r="3" spans="1:9" ht="15.75" customHeight="1">
      <c r="A3" s="1050">
        <v>2019</v>
      </c>
      <c r="B3" s="1050"/>
      <c r="C3" s="1050"/>
      <c r="D3" s="1050"/>
      <c r="E3" s="1050"/>
      <c r="F3" s="1050"/>
      <c r="G3" s="1050"/>
      <c r="H3" s="1050"/>
      <c r="I3" s="1050"/>
    </row>
    <row r="4" spans="1:9" ht="18.75" customHeight="1">
      <c r="A4" s="1050" t="s">
        <v>177</v>
      </c>
      <c r="B4" s="1050"/>
      <c r="C4" s="1050"/>
      <c r="D4" s="1050"/>
      <c r="E4" s="1050"/>
      <c r="F4" s="1050"/>
      <c r="G4" s="1050"/>
      <c r="H4" s="1050"/>
      <c r="I4" s="1050"/>
    </row>
    <row r="5" spans="1:9" ht="18.75" customHeight="1">
      <c r="A5" s="372"/>
      <c r="B5" s="372"/>
      <c r="C5" s="372"/>
      <c r="D5" s="372"/>
      <c r="E5" s="372"/>
      <c r="F5" s="393"/>
      <c r="G5" s="372"/>
      <c r="H5" s="372"/>
      <c r="I5" s="372"/>
    </row>
    <row r="6" spans="1:9" s="31" customFormat="1" ht="16.5">
      <c r="A6" s="362" t="s">
        <v>340</v>
      </c>
      <c r="B6" s="363"/>
      <c r="C6" s="364"/>
      <c r="D6" s="364"/>
      <c r="E6" s="364"/>
      <c r="F6" s="364"/>
      <c r="G6" s="369"/>
      <c r="H6" s="369"/>
      <c r="I6" s="369" t="s">
        <v>339</v>
      </c>
    </row>
    <row r="7" spans="1:9" ht="27.75" customHeight="1" thickBot="1">
      <c r="A7" s="1150" t="s">
        <v>315</v>
      </c>
      <c r="B7" s="1143" t="s">
        <v>305</v>
      </c>
      <c r="C7" s="1143"/>
      <c r="D7" s="1143"/>
      <c r="E7" s="1143"/>
      <c r="F7" s="1143"/>
      <c r="G7" s="1143"/>
      <c r="H7" s="1093" t="s">
        <v>634</v>
      </c>
      <c r="I7" s="1095" t="s">
        <v>314</v>
      </c>
    </row>
    <row r="8" spans="1:9" ht="57.75" customHeight="1">
      <c r="A8" s="1153"/>
      <c r="B8" s="511" t="s">
        <v>639</v>
      </c>
      <c r="C8" s="511" t="s">
        <v>640</v>
      </c>
      <c r="D8" s="511" t="s">
        <v>641</v>
      </c>
      <c r="E8" s="511" t="s">
        <v>1281</v>
      </c>
      <c r="F8" s="511" t="s">
        <v>611</v>
      </c>
      <c r="G8" s="508" t="s">
        <v>108</v>
      </c>
      <c r="H8" s="1094"/>
      <c r="I8" s="1096"/>
    </row>
    <row r="9" spans="1:9" ht="19.5" customHeight="1" thickBot="1">
      <c r="A9" s="736">
        <v>-20</v>
      </c>
      <c r="B9" s="227">
        <v>1</v>
      </c>
      <c r="C9" s="35">
        <v>4</v>
      </c>
      <c r="D9" s="35">
        <v>0</v>
      </c>
      <c r="E9" s="35">
        <v>0</v>
      </c>
      <c r="F9" s="228">
        <v>0</v>
      </c>
      <c r="G9" s="111">
        <f>SUM(Table_Default__XLS_TAB_26_2105[[#This Row],[BAAN_SMALLERQATAR]:[Column1]])</f>
        <v>5</v>
      </c>
      <c r="H9" s="829">
        <f t="shared" ref="H9:H19" si="0">G9/$G$20%</f>
        <v>0.59453032104637338</v>
      </c>
      <c r="I9" s="909">
        <v>-20</v>
      </c>
    </row>
    <row r="10" spans="1:9" ht="19.5" customHeight="1" thickBot="1">
      <c r="A10" s="19" t="s">
        <v>1262</v>
      </c>
      <c r="B10" s="234">
        <v>17</v>
      </c>
      <c r="C10" s="33">
        <v>22</v>
      </c>
      <c r="D10" s="33">
        <v>17</v>
      </c>
      <c r="E10" s="33">
        <v>1</v>
      </c>
      <c r="F10" s="235">
        <v>0</v>
      </c>
      <c r="G10" s="111">
        <f>SUM(Table_Default__XLS_TAB_26_2105[[#This Row],[BAAN_SMALLERQATAR]:[Column1]])</f>
        <v>57</v>
      </c>
      <c r="H10" s="53">
        <f t="shared" si="0"/>
        <v>6.7776456599286563</v>
      </c>
      <c r="I10" s="910" t="s">
        <v>128</v>
      </c>
    </row>
    <row r="11" spans="1:9" ht="19.5" customHeight="1" thickBot="1">
      <c r="A11" s="16" t="s">
        <v>1263</v>
      </c>
      <c r="B11" s="234">
        <v>43</v>
      </c>
      <c r="C11" s="33">
        <v>66</v>
      </c>
      <c r="D11" s="33">
        <v>15</v>
      </c>
      <c r="E11" s="33">
        <v>5</v>
      </c>
      <c r="F11" s="235">
        <v>0</v>
      </c>
      <c r="G11" s="111">
        <f>SUM(Table_Default__XLS_TAB_26_2105[[#This Row],[BAAN_SMALLERQATAR]:[Column1]])</f>
        <v>129</v>
      </c>
      <c r="H11" s="52">
        <f t="shared" si="0"/>
        <v>15.338882282996433</v>
      </c>
      <c r="I11" s="911" t="s">
        <v>127</v>
      </c>
    </row>
    <row r="12" spans="1:9" ht="19.5" customHeight="1" thickBot="1">
      <c r="A12" s="19" t="s">
        <v>1264</v>
      </c>
      <c r="B12" s="234">
        <v>64</v>
      </c>
      <c r="C12" s="33">
        <v>101</v>
      </c>
      <c r="D12" s="33">
        <v>19</v>
      </c>
      <c r="E12" s="33">
        <v>6</v>
      </c>
      <c r="F12" s="235">
        <v>0</v>
      </c>
      <c r="G12" s="111">
        <f>SUM(Table_Default__XLS_TAB_26_2105[[#This Row],[BAAN_SMALLERQATAR]:[Column1]])</f>
        <v>190</v>
      </c>
      <c r="H12" s="53">
        <f t="shared" si="0"/>
        <v>22.592152199762186</v>
      </c>
      <c r="I12" s="910" t="s">
        <v>126</v>
      </c>
    </row>
    <row r="13" spans="1:9" ht="19.5" customHeight="1" thickBot="1">
      <c r="A13" s="16" t="s">
        <v>1265</v>
      </c>
      <c r="B13" s="234">
        <v>70</v>
      </c>
      <c r="C13" s="33">
        <v>69</v>
      </c>
      <c r="D13" s="33">
        <v>22</v>
      </c>
      <c r="E13" s="33">
        <v>4</v>
      </c>
      <c r="F13" s="235">
        <v>0</v>
      </c>
      <c r="G13" s="111">
        <f>SUM(Table_Default__XLS_TAB_26_2105[[#This Row],[BAAN_SMALLERQATAR]:[Column1]])</f>
        <v>165</v>
      </c>
      <c r="H13" s="52">
        <f t="shared" si="0"/>
        <v>19.619500594530322</v>
      </c>
      <c r="I13" s="911" t="s">
        <v>125</v>
      </c>
    </row>
    <row r="14" spans="1:9" ht="19.5" customHeight="1" thickBot="1">
      <c r="A14" s="19" t="s">
        <v>1266</v>
      </c>
      <c r="B14" s="234">
        <v>41</v>
      </c>
      <c r="C14" s="33">
        <v>50</v>
      </c>
      <c r="D14" s="33">
        <v>11</v>
      </c>
      <c r="E14" s="33">
        <v>3</v>
      </c>
      <c r="F14" s="235">
        <v>0</v>
      </c>
      <c r="G14" s="111">
        <f>SUM(Table_Default__XLS_TAB_26_2105[[#This Row],[BAAN_SMALLERQATAR]:[Column1]])</f>
        <v>105</v>
      </c>
      <c r="H14" s="53">
        <f t="shared" si="0"/>
        <v>12.485136741973841</v>
      </c>
      <c r="I14" s="910" t="s">
        <v>124</v>
      </c>
    </row>
    <row r="15" spans="1:9" ht="19.5" customHeight="1" thickBot="1">
      <c r="A15" s="16" t="s">
        <v>1267</v>
      </c>
      <c r="B15" s="234">
        <v>37</v>
      </c>
      <c r="C15" s="33">
        <v>25</v>
      </c>
      <c r="D15" s="33">
        <v>10</v>
      </c>
      <c r="E15" s="33">
        <v>5</v>
      </c>
      <c r="F15" s="235">
        <v>0</v>
      </c>
      <c r="G15" s="111">
        <f>SUM(Table_Default__XLS_TAB_26_2105[[#This Row],[BAAN_SMALLERQATAR]:[Column1]])</f>
        <v>77</v>
      </c>
      <c r="H15" s="52">
        <f t="shared" si="0"/>
        <v>9.1557669441141503</v>
      </c>
      <c r="I15" s="911" t="s">
        <v>123</v>
      </c>
    </row>
    <row r="16" spans="1:9" ht="19.5" customHeight="1" thickBot="1">
      <c r="A16" s="19" t="s">
        <v>1268</v>
      </c>
      <c r="B16" s="234">
        <v>12</v>
      </c>
      <c r="C16" s="33">
        <v>15</v>
      </c>
      <c r="D16" s="33">
        <v>1</v>
      </c>
      <c r="E16" s="33">
        <v>2</v>
      </c>
      <c r="F16" s="235">
        <v>0</v>
      </c>
      <c r="G16" s="111">
        <f>SUM(Table_Default__XLS_TAB_26_2105[[#This Row],[BAAN_SMALLERQATAR]:[Column1]])</f>
        <v>30</v>
      </c>
      <c r="H16" s="53">
        <f t="shared" si="0"/>
        <v>3.56718192627824</v>
      </c>
      <c r="I16" s="910" t="s">
        <v>122</v>
      </c>
    </row>
    <row r="17" spans="1:9" ht="19.5" customHeight="1" thickBot="1">
      <c r="A17" s="16" t="s">
        <v>1269</v>
      </c>
      <c r="B17" s="234">
        <v>4</v>
      </c>
      <c r="C17" s="33">
        <v>5</v>
      </c>
      <c r="D17" s="33">
        <v>2</v>
      </c>
      <c r="E17" s="33">
        <v>1</v>
      </c>
      <c r="F17" s="235">
        <v>0</v>
      </c>
      <c r="G17" s="111">
        <f>SUM(Table_Default__XLS_TAB_26_2105[[#This Row],[BAAN_SMALLERQATAR]:[Column1]])</f>
        <v>12</v>
      </c>
      <c r="H17" s="52">
        <f t="shared" si="0"/>
        <v>1.426872770511296</v>
      </c>
      <c r="I17" s="911" t="s">
        <v>121</v>
      </c>
    </row>
    <row r="18" spans="1:9" ht="19.5" customHeight="1" thickBot="1">
      <c r="A18" s="19" t="s">
        <v>133</v>
      </c>
      <c r="B18" s="234">
        <v>2</v>
      </c>
      <c r="C18" s="33">
        <v>1</v>
      </c>
      <c r="D18" s="33">
        <v>2</v>
      </c>
      <c r="E18" s="33">
        <v>1</v>
      </c>
      <c r="F18" s="235">
        <v>0</v>
      </c>
      <c r="G18" s="111">
        <f>SUM(Table_Default__XLS_TAB_26_2105[[#This Row],[BAAN_SMALLERQATAR]:[Column1]])</f>
        <v>6</v>
      </c>
      <c r="H18" s="53">
        <f t="shared" si="0"/>
        <v>0.71343638525564801</v>
      </c>
      <c r="I18" s="910" t="s">
        <v>1270</v>
      </c>
    </row>
    <row r="19" spans="1:9" ht="19.5" customHeight="1" thickBot="1">
      <c r="A19" s="239" t="s">
        <v>15</v>
      </c>
      <c r="B19" s="236">
        <v>30</v>
      </c>
      <c r="C19" s="237">
        <v>32</v>
      </c>
      <c r="D19" s="237">
        <v>1</v>
      </c>
      <c r="E19" s="237">
        <v>2</v>
      </c>
      <c r="F19" s="238">
        <v>0</v>
      </c>
      <c r="G19" s="111">
        <f>SUM(Table_Default__XLS_TAB_26_2105[[#This Row],[BAAN_SMALLERQATAR]:[Column1]])</f>
        <v>65</v>
      </c>
      <c r="H19" s="240">
        <f t="shared" si="0"/>
        <v>7.7288941736028534</v>
      </c>
      <c r="I19" s="914" t="s">
        <v>16</v>
      </c>
    </row>
    <row r="20" spans="1:9" ht="19.5" customHeight="1">
      <c r="A20" s="79" t="s">
        <v>17</v>
      </c>
      <c r="B20" s="241">
        <f>SUM(B9:B19)</f>
        <v>321</v>
      </c>
      <c r="C20" s="241">
        <f>SUM(C9:C19)</f>
        <v>390</v>
      </c>
      <c r="D20" s="241">
        <f t="shared" ref="D20:F20" si="1">SUM(D9:D19)</f>
        <v>100</v>
      </c>
      <c r="E20" s="241">
        <f t="shared" si="1"/>
        <v>30</v>
      </c>
      <c r="F20" s="241">
        <f t="shared" si="1"/>
        <v>0</v>
      </c>
      <c r="G20" s="241">
        <f>SUM(G9:G19)</f>
        <v>841</v>
      </c>
      <c r="H20" s="78">
        <f t="shared" ref="H20" si="2">SUM(H9:H19)</f>
        <v>100</v>
      </c>
      <c r="I20" s="77" t="s">
        <v>56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28"/>
  <sheetViews>
    <sheetView rightToLeft="1" view="pageBreakPreview" zoomScaleNormal="100" zoomScaleSheetLayoutView="100" workbookViewId="0">
      <selection activeCell="M18" sqref="M18"/>
    </sheetView>
  </sheetViews>
  <sheetFormatPr defaultColWidth="9.140625" defaultRowHeight="12.75"/>
  <cols>
    <col min="1" max="1" width="3.5703125" style="2" customWidth="1"/>
    <col min="2" max="2" width="37.5703125" style="2" customWidth="1"/>
    <col min="3" max="3" width="3.5703125" style="684" customWidth="1"/>
    <col min="4" max="4" width="37.5703125" style="2" customWidth="1"/>
    <col min="5" max="6" width="3.5703125" style="2" customWidth="1"/>
    <col min="7" max="16384" width="9.140625" style="2"/>
  </cols>
  <sheetData>
    <row r="1" spans="1:6" ht="33.75" customHeight="1" thickBot="1">
      <c r="A1" s="986" t="s">
        <v>919</v>
      </c>
      <c r="B1" s="987"/>
      <c r="C1" s="700"/>
      <c r="D1" s="988" t="s">
        <v>860</v>
      </c>
      <c r="E1" s="989"/>
      <c r="F1" s="699"/>
    </row>
    <row r="2" spans="1:6" ht="55.5" customHeight="1" thickBot="1">
      <c r="A2" s="697"/>
      <c r="B2" s="678" t="s">
        <v>918</v>
      </c>
      <c r="C2" s="694"/>
      <c r="D2" s="990" t="s">
        <v>917</v>
      </c>
      <c r="E2" s="991"/>
    </row>
    <row r="3" spans="1:6" ht="27" customHeight="1" thickBot="1">
      <c r="A3" s="986" t="s">
        <v>916</v>
      </c>
      <c r="B3" s="987"/>
      <c r="C3" s="630"/>
      <c r="D3" s="992" t="s">
        <v>915</v>
      </c>
      <c r="E3" s="995"/>
      <c r="F3" s="626"/>
    </row>
    <row r="4" spans="1:6" ht="75" customHeight="1">
      <c r="A4" s="697"/>
      <c r="B4" s="678" t="s">
        <v>914</v>
      </c>
      <c r="C4" s="695"/>
      <c r="D4" s="990" t="s">
        <v>913</v>
      </c>
      <c r="E4" s="991"/>
      <c r="F4" s="698"/>
    </row>
    <row r="5" spans="1:6" ht="43.5" customHeight="1">
      <c r="A5" s="697"/>
      <c r="B5" s="697" t="s">
        <v>912</v>
      </c>
      <c r="C5" s="695"/>
      <c r="D5" s="994" t="s">
        <v>911</v>
      </c>
      <c r="E5" s="994"/>
    </row>
    <row r="6" spans="1:6" ht="33">
      <c r="A6" s="693" t="s">
        <v>898</v>
      </c>
      <c r="B6" s="678" t="s">
        <v>910</v>
      </c>
      <c r="C6" s="691"/>
      <c r="D6" s="696" t="s">
        <v>909</v>
      </c>
      <c r="E6" s="689" t="s">
        <v>898</v>
      </c>
    </row>
    <row r="7" spans="1:6" ht="49.5">
      <c r="A7" s="693" t="s">
        <v>895</v>
      </c>
      <c r="B7" s="678" t="s">
        <v>908</v>
      </c>
      <c r="C7" s="691"/>
      <c r="D7" s="696" t="s">
        <v>907</v>
      </c>
      <c r="E7" s="689" t="s">
        <v>895</v>
      </c>
    </row>
    <row r="8" spans="1:6" ht="48.75" customHeight="1" thickBot="1">
      <c r="A8" s="693" t="s">
        <v>892</v>
      </c>
      <c r="B8" s="678" t="s">
        <v>906</v>
      </c>
      <c r="C8" s="691"/>
      <c r="D8" s="696" t="s">
        <v>905</v>
      </c>
      <c r="E8" s="689" t="s">
        <v>892</v>
      </c>
    </row>
    <row r="9" spans="1:6" ht="30.75" customHeight="1" thickBot="1">
      <c r="A9" s="986" t="s">
        <v>904</v>
      </c>
      <c r="B9" s="987"/>
      <c r="C9" s="630"/>
      <c r="D9" s="992" t="s">
        <v>903</v>
      </c>
      <c r="E9" s="993"/>
    </row>
    <row r="10" spans="1:6" ht="106.5" customHeight="1">
      <c r="A10" s="678"/>
      <c r="B10" s="678" t="s">
        <v>902</v>
      </c>
      <c r="C10" s="695"/>
      <c r="D10" s="990" t="s">
        <v>901</v>
      </c>
      <c r="E10" s="991"/>
    </row>
    <row r="11" spans="1:6" ht="86.25">
      <c r="A11" s="693" t="s">
        <v>898</v>
      </c>
      <c r="B11" s="692" t="s">
        <v>900</v>
      </c>
      <c r="C11" s="694"/>
      <c r="D11" s="690" t="s">
        <v>899</v>
      </c>
      <c r="E11" s="689" t="s">
        <v>898</v>
      </c>
    </row>
    <row r="12" spans="1:6" ht="57.75">
      <c r="A12" s="693" t="s">
        <v>895</v>
      </c>
      <c r="B12" s="692" t="s">
        <v>897</v>
      </c>
      <c r="C12" s="691"/>
      <c r="D12" s="690" t="s">
        <v>896</v>
      </c>
      <c r="E12" s="689" t="s">
        <v>895</v>
      </c>
    </row>
    <row r="13" spans="1:6" ht="100.5">
      <c r="A13" s="693" t="s">
        <v>892</v>
      </c>
      <c r="B13" s="692" t="s">
        <v>894</v>
      </c>
      <c r="C13" s="691"/>
      <c r="D13" s="690" t="s">
        <v>893</v>
      </c>
      <c r="E13" s="689" t="s">
        <v>892</v>
      </c>
    </row>
    <row r="14" spans="1:6" ht="101.25" thickBot="1">
      <c r="A14" s="693" t="s">
        <v>889</v>
      </c>
      <c r="B14" s="692" t="s">
        <v>891</v>
      </c>
      <c r="C14" s="691"/>
      <c r="D14" s="690" t="s">
        <v>890</v>
      </c>
      <c r="E14" s="689" t="s">
        <v>889</v>
      </c>
    </row>
    <row r="15" spans="1:6" ht="27" customHeight="1" thickBot="1">
      <c r="A15" s="986" t="s">
        <v>888</v>
      </c>
      <c r="B15" s="987"/>
      <c r="C15" s="630"/>
      <c r="D15" s="992" t="s">
        <v>887</v>
      </c>
      <c r="E15" s="993"/>
    </row>
    <row r="16" spans="1:6" ht="91.5" customHeight="1" thickBot="1">
      <c r="B16" s="688" t="s">
        <v>886</v>
      </c>
      <c r="C16" s="687"/>
      <c r="D16" s="686" t="s">
        <v>885</v>
      </c>
      <c r="F16" s="686"/>
    </row>
    <row r="17" spans="1:11" ht="27" customHeight="1" thickBot="1">
      <c r="A17" s="986" t="s">
        <v>884</v>
      </c>
      <c r="B17" s="987"/>
      <c r="C17" s="630"/>
      <c r="D17" s="992" t="s">
        <v>883</v>
      </c>
      <c r="E17" s="993"/>
    </row>
    <row r="18" spans="1:11" ht="41.25" customHeight="1">
      <c r="B18" s="688" t="s">
        <v>882</v>
      </c>
      <c r="C18" s="687"/>
      <c r="D18" s="686" t="s">
        <v>881</v>
      </c>
      <c r="F18" s="686"/>
    </row>
    <row r="28" spans="1:11" ht="16.5">
      <c r="C28" s="2"/>
      <c r="K28" s="685"/>
    </row>
  </sheetData>
  <mergeCells count="14">
    <mergeCell ref="A1:B1"/>
    <mergeCell ref="D1:E1"/>
    <mergeCell ref="D2:E2"/>
    <mergeCell ref="A9:B9"/>
    <mergeCell ref="A17:B17"/>
    <mergeCell ref="A3:B3"/>
    <mergeCell ref="D9:E9"/>
    <mergeCell ref="D10:E10"/>
    <mergeCell ref="D17:E17"/>
    <mergeCell ref="D5:E5"/>
    <mergeCell ref="D4:E4"/>
    <mergeCell ref="D3:E3"/>
    <mergeCell ref="A15:B15"/>
    <mergeCell ref="D15:E15"/>
  </mergeCells>
  <printOptions horizontalCentered="1"/>
  <pageMargins left="0.74803149606299213" right="0.74803149606299213" top="1.1811023622047245" bottom="0.59055118110236227" header="0.51181102362204722" footer="0.51181102362204722"/>
  <pageSetup paperSize="9" scale="91" orientation="portrait" r:id="rId1"/>
  <headerFooter alignWithMargins="0"/>
  <rowBreaks count="1" manualBreakCount="1">
    <brk id="12" max="4"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20"/>
  <sheetViews>
    <sheetView rightToLeft="1" view="pageBreakPreview" topLeftCell="A3" zoomScaleNormal="100" zoomScaleSheetLayoutView="100" workbookViewId="0">
      <selection activeCell="M18" sqref="M18"/>
    </sheetView>
  </sheetViews>
  <sheetFormatPr defaultColWidth="9.140625" defaultRowHeight="12.75"/>
  <cols>
    <col min="1" max="1" width="19.42578125" style="1" customWidth="1"/>
    <col min="2" max="7" width="13.85546875" style="1" customWidth="1"/>
    <col min="8" max="8" width="13.42578125" style="1" customWidth="1"/>
    <col min="9" max="9" width="19.5703125" style="1" customWidth="1"/>
    <col min="10" max="16384" width="9.140625" style="1"/>
  </cols>
  <sheetData>
    <row r="1" spans="1:9" ht="24" customHeight="1">
      <c r="A1" s="1097" t="s">
        <v>317</v>
      </c>
      <c r="B1" s="1097"/>
      <c r="C1" s="1097"/>
      <c r="D1" s="1097"/>
      <c r="E1" s="1097"/>
      <c r="F1" s="1097"/>
      <c r="G1" s="1097"/>
      <c r="H1" s="1097"/>
      <c r="I1" s="1097"/>
    </row>
    <row r="2" spans="1:9" ht="15.75" customHeight="1">
      <c r="A2" s="1050" t="s">
        <v>316</v>
      </c>
      <c r="B2" s="1050"/>
      <c r="C2" s="1050"/>
      <c r="D2" s="1050"/>
      <c r="E2" s="1050"/>
      <c r="F2" s="1050"/>
      <c r="G2" s="1050"/>
      <c r="H2" s="1050"/>
      <c r="I2" s="1050"/>
    </row>
    <row r="3" spans="1:9" ht="15.75" customHeight="1">
      <c r="A3" s="1050">
        <v>2019</v>
      </c>
      <c r="B3" s="1050"/>
      <c r="C3" s="1050"/>
      <c r="D3" s="1050"/>
      <c r="E3" s="1050"/>
      <c r="F3" s="1050"/>
      <c r="G3" s="1050"/>
      <c r="H3" s="1050"/>
      <c r="I3" s="1050"/>
    </row>
    <row r="4" spans="1:9" ht="18.75" customHeight="1">
      <c r="A4" s="1050" t="s">
        <v>1</v>
      </c>
      <c r="B4" s="1050"/>
      <c r="C4" s="1050"/>
      <c r="D4" s="1050"/>
      <c r="E4" s="1050"/>
      <c r="F4" s="1050"/>
      <c r="G4" s="1050"/>
      <c r="H4" s="1050"/>
      <c r="I4" s="1050"/>
    </row>
    <row r="5" spans="1:9" ht="18.75" customHeight="1">
      <c r="A5" s="372"/>
      <c r="B5" s="372"/>
      <c r="C5" s="372"/>
      <c r="D5" s="372"/>
      <c r="E5" s="372"/>
      <c r="F5" s="393"/>
      <c r="G5" s="372"/>
      <c r="H5" s="372"/>
      <c r="I5" s="372"/>
    </row>
    <row r="6" spans="1:9" s="31" customFormat="1" ht="16.5">
      <c r="A6" s="362" t="s">
        <v>342</v>
      </c>
      <c r="B6" s="363"/>
      <c r="C6" s="364"/>
      <c r="D6" s="364"/>
      <c r="E6" s="364"/>
      <c r="F6" s="364"/>
      <c r="G6" s="369"/>
      <c r="H6" s="369"/>
      <c r="I6" s="369" t="s">
        <v>341</v>
      </c>
    </row>
    <row r="7" spans="1:9" ht="27.75" customHeight="1" thickBot="1">
      <c r="A7" s="1150" t="s">
        <v>315</v>
      </c>
      <c r="B7" s="1143" t="s">
        <v>305</v>
      </c>
      <c r="C7" s="1143"/>
      <c r="D7" s="1143"/>
      <c r="E7" s="1143"/>
      <c r="F7" s="1143"/>
      <c r="G7" s="1143"/>
      <c r="H7" s="1093" t="s">
        <v>635</v>
      </c>
      <c r="I7" s="1095" t="s">
        <v>314</v>
      </c>
    </row>
    <row r="8" spans="1:9" ht="57.75" customHeight="1">
      <c r="A8" s="1153"/>
      <c r="B8" s="511" t="s">
        <v>639</v>
      </c>
      <c r="C8" s="511" t="s">
        <v>640</v>
      </c>
      <c r="D8" s="511" t="s">
        <v>641</v>
      </c>
      <c r="E8" s="511" t="s">
        <v>1281</v>
      </c>
      <c r="F8" s="511" t="s">
        <v>611</v>
      </c>
      <c r="G8" s="508" t="s">
        <v>108</v>
      </c>
      <c r="H8" s="1094"/>
      <c r="I8" s="1096"/>
    </row>
    <row r="9" spans="1:9" ht="19.5" customHeight="1" thickBot="1">
      <c r="A9" s="736">
        <v>-20</v>
      </c>
      <c r="B9" s="227">
        <v>3</v>
      </c>
      <c r="C9" s="35">
        <v>6</v>
      </c>
      <c r="D9" s="35">
        <v>0</v>
      </c>
      <c r="E9" s="35">
        <v>0</v>
      </c>
      <c r="F9" s="228">
        <v>0</v>
      </c>
      <c r="G9" s="111">
        <f>SUM(Table_Default__XLS_TAB_26_240106[[#This Row],[BAAN_SMALLERQATAR]:[Column1]])</f>
        <v>9</v>
      </c>
      <c r="H9" s="829">
        <f t="shared" ref="H9:H19" si="0">G9/$G$20%</f>
        <v>0.49099836333878893</v>
      </c>
      <c r="I9" s="909">
        <v>-20</v>
      </c>
    </row>
    <row r="10" spans="1:9" ht="19.5" customHeight="1" thickBot="1">
      <c r="A10" s="19" t="s">
        <v>1262</v>
      </c>
      <c r="B10" s="234">
        <v>53</v>
      </c>
      <c r="C10" s="33">
        <v>83</v>
      </c>
      <c r="D10" s="33">
        <v>29</v>
      </c>
      <c r="E10" s="33">
        <v>1</v>
      </c>
      <c r="F10" s="235">
        <v>0</v>
      </c>
      <c r="G10" s="111">
        <f>SUM(Table_Default__XLS_TAB_26_240106[[#This Row],[BAAN_SMALLERQATAR]:[Column1]])</f>
        <v>166</v>
      </c>
      <c r="H10" s="53">
        <f t="shared" si="0"/>
        <v>9.0561920349154406</v>
      </c>
      <c r="I10" s="910" t="s">
        <v>128</v>
      </c>
    </row>
    <row r="11" spans="1:9" ht="19.5" customHeight="1" thickBot="1">
      <c r="A11" s="16" t="s">
        <v>1263</v>
      </c>
      <c r="B11" s="234">
        <v>140</v>
      </c>
      <c r="C11" s="33">
        <v>173</v>
      </c>
      <c r="D11" s="33">
        <v>44</v>
      </c>
      <c r="E11" s="33">
        <v>7</v>
      </c>
      <c r="F11" s="235">
        <v>0</v>
      </c>
      <c r="G11" s="111">
        <f>SUM(Table_Default__XLS_TAB_26_240106[[#This Row],[BAAN_SMALLERQATAR]:[Column1]])</f>
        <v>364</v>
      </c>
      <c r="H11" s="52">
        <f t="shared" si="0"/>
        <v>19.858156028368796</v>
      </c>
      <c r="I11" s="911" t="s">
        <v>127</v>
      </c>
    </row>
    <row r="12" spans="1:9" ht="19.5" customHeight="1" thickBot="1">
      <c r="A12" s="19" t="s">
        <v>1264</v>
      </c>
      <c r="B12" s="234">
        <v>168</v>
      </c>
      <c r="C12" s="33">
        <v>189</v>
      </c>
      <c r="D12" s="33">
        <v>30</v>
      </c>
      <c r="E12" s="33">
        <v>9</v>
      </c>
      <c r="F12" s="235">
        <v>0</v>
      </c>
      <c r="G12" s="111">
        <f>SUM(Table_Default__XLS_TAB_26_240106[[#This Row],[BAAN_SMALLERQATAR]:[Column1]])</f>
        <v>396</v>
      </c>
      <c r="H12" s="53">
        <f t="shared" si="0"/>
        <v>21.603927986906712</v>
      </c>
      <c r="I12" s="910" t="s">
        <v>126</v>
      </c>
    </row>
    <row r="13" spans="1:9" ht="19.5" customHeight="1" thickBot="1">
      <c r="A13" s="16" t="s">
        <v>1265</v>
      </c>
      <c r="B13" s="234">
        <v>129</v>
      </c>
      <c r="C13" s="33">
        <v>123</v>
      </c>
      <c r="D13" s="33">
        <v>39</v>
      </c>
      <c r="E13" s="33">
        <v>9</v>
      </c>
      <c r="F13" s="235">
        <v>0</v>
      </c>
      <c r="G13" s="111">
        <f>SUM(Table_Default__XLS_TAB_26_240106[[#This Row],[BAAN_SMALLERQATAR]:[Column1]])</f>
        <v>300</v>
      </c>
      <c r="H13" s="52">
        <f t="shared" si="0"/>
        <v>16.366612111292962</v>
      </c>
      <c r="I13" s="911" t="s">
        <v>125</v>
      </c>
    </row>
    <row r="14" spans="1:9" ht="19.5" customHeight="1" thickBot="1">
      <c r="A14" s="19" t="s">
        <v>1266</v>
      </c>
      <c r="B14" s="234">
        <v>91</v>
      </c>
      <c r="C14" s="33">
        <v>93</v>
      </c>
      <c r="D14" s="33">
        <v>22</v>
      </c>
      <c r="E14" s="33">
        <v>6</v>
      </c>
      <c r="F14" s="235">
        <v>0</v>
      </c>
      <c r="G14" s="111">
        <f>SUM(Table_Default__XLS_TAB_26_240106[[#This Row],[BAAN_SMALLERQATAR]:[Column1]])</f>
        <v>212</v>
      </c>
      <c r="H14" s="53">
        <f t="shared" si="0"/>
        <v>11.565739225313694</v>
      </c>
      <c r="I14" s="910" t="s">
        <v>124</v>
      </c>
    </row>
    <row r="15" spans="1:9" ht="19.5" customHeight="1" thickBot="1">
      <c r="A15" s="16" t="s">
        <v>1267</v>
      </c>
      <c r="B15" s="234">
        <v>91</v>
      </c>
      <c r="C15" s="33">
        <v>51</v>
      </c>
      <c r="D15" s="33">
        <v>16</v>
      </c>
      <c r="E15" s="33">
        <v>7</v>
      </c>
      <c r="F15" s="235">
        <v>0</v>
      </c>
      <c r="G15" s="111">
        <f>SUM(Table_Default__XLS_TAB_26_240106[[#This Row],[BAAN_SMALLERQATAR]:[Column1]])</f>
        <v>165</v>
      </c>
      <c r="H15" s="52">
        <f t="shared" si="0"/>
        <v>9.0016366612111298</v>
      </c>
      <c r="I15" s="911" t="s">
        <v>123</v>
      </c>
    </row>
    <row r="16" spans="1:9" ht="19.5" customHeight="1" thickBot="1">
      <c r="A16" s="19" t="s">
        <v>1268</v>
      </c>
      <c r="B16" s="234">
        <v>43</v>
      </c>
      <c r="C16" s="33">
        <v>40</v>
      </c>
      <c r="D16" s="33">
        <v>5</v>
      </c>
      <c r="E16" s="33">
        <v>2</v>
      </c>
      <c r="F16" s="235">
        <v>0</v>
      </c>
      <c r="G16" s="111">
        <f>SUM(Table_Default__XLS_TAB_26_240106[[#This Row],[BAAN_SMALLERQATAR]:[Column1]])</f>
        <v>90</v>
      </c>
      <c r="H16" s="53">
        <f t="shared" si="0"/>
        <v>4.9099836333878892</v>
      </c>
      <c r="I16" s="910" t="s">
        <v>122</v>
      </c>
    </row>
    <row r="17" spans="1:9" ht="19.5" customHeight="1" thickBot="1">
      <c r="A17" s="16" t="s">
        <v>1269</v>
      </c>
      <c r="B17" s="234">
        <v>20</v>
      </c>
      <c r="C17" s="33">
        <v>20</v>
      </c>
      <c r="D17" s="33">
        <v>3</v>
      </c>
      <c r="E17" s="33">
        <v>1</v>
      </c>
      <c r="F17" s="235">
        <v>0</v>
      </c>
      <c r="G17" s="111">
        <f>SUM(Table_Default__XLS_TAB_26_240106[[#This Row],[BAAN_SMALLERQATAR]:[Column1]])</f>
        <v>44</v>
      </c>
      <c r="H17" s="52">
        <f t="shared" si="0"/>
        <v>2.4004364429896348</v>
      </c>
      <c r="I17" s="911" t="s">
        <v>121</v>
      </c>
    </row>
    <row r="18" spans="1:9" ht="19.5" customHeight="1" thickBot="1">
      <c r="A18" s="19" t="s">
        <v>133</v>
      </c>
      <c r="B18" s="234">
        <v>6</v>
      </c>
      <c r="C18" s="33">
        <v>12</v>
      </c>
      <c r="D18" s="33">
        <v>2</v>
      </c>
      <c r="E18" s="33">
        <v>2</v>
      </c>
      <c r="F18" s="235">
        <v>0</v>
      </c>
      <c r="G18" s="111">
        <f>SUM(Table_Default__XLS_TAB_26_240106[[#This Row],[BAAN_SMALLERQATAR]:[Column1]])</f>
        <v>22</v>
      </c>
      <c r="H18" s="53">
        <f t="shared" si="0"/>
        <v>1.2002182214948174</v>
      </c>
      <c r="I18" s="910" t="s">
        <v>1270</v>
      </c>
    </row>
    <row r="19" spans="1:9" ht="19.5" customHeight="1" thickBot="1">
      <c r="A19" s="239" t="s">
        <v>15</v>
      </c>
      <c r="B19" s="236">
        <v>30</v>
      </c>
      <c r="C19" s="237">
        <v>32</v>
      </c>
      <c r="D19" s="237">
        <v>1</v>
      </c>
      <c r="E19" s="237">
        <v>2</v>
      </c>
      <c r="F19" s="238">
        <v>0</v>
      </c>
      <c r="G19" s="111">
        <f>SUM(Table_Default__XLS_TAB_26_240106[[#This Row],[BAAN_SMALLERQATAR]:[Column1]])</f>
        <v>65</v>
      </c>
      <c r="H19" s="240">
        <f t="shared" si="0"/>
        <v>3.5460992907801421</v>
      </c>
      <c r="I19" s="914" t="s">
        <v>16</v>
      </c>
    </row>
    <row r="20" spans="1:9" ht="19.5" customHeight="1">
      <c r="A20" s="79" t="s">
        <v>17</v>
      </c>
      <c r="B20" s="241">
        <f>SUM(B9:B19)</f>
        <v>774</v>
      </c>
      <c r="C20" s="241">
        <f>SUM(C9:C19)</f>
        <v>822</v>
      </c>
      <c r="D20" s="241">
        <f t="shared" ref="D20:G20" si="1">SUM(D9:D19)</f>
        <v>191</v>
      </c>
      <c r="E20" s="241">
        <f t="shared" si="1"/>
        <v>46</v>
      </c>
      <c r="F20" s="241">
        <f>SUM(F9:F19)</f>
        <v>0</v>
      </c>
      <c r="G20" s="241">
        <f t="shared" si="1"/>
        <v>1833</v>
      </c>
      <c r="H20" s="78">
        <f t="shared" ref="H20" si="2">SUM(H9:H19)</f>
        <v>100.00000000000001</v>
      </c>
      <c r="I20" s="77" t="s">
        <v>56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K23"/>
  <sheetViews>
    <sheetView rightToLeft="1" view="pageBreakPreview" topLeftCell="A4" zoomScaleNormal="100" zoomScaleSheetLayoutView="100" workbookViewId="0">
      <selection activeCell="M18" sqref="M18"/>
    </sheetView>
  </sheetViews>
  <sheetFormatPr defaultColWidth="9.140625" defaultRowHeight="12.75"/>
  <cols>
    <col min="1" max="1" width="16.85546875" style="2" customWidth="1"/>
    <col min="2" max="2" width="10.42578125" style="2" customWidth="1"/>
    <col min="3" max="3" width="14.140625" style="2" customWidth="1"/>
    <col min="4" max="6" width="12.5703125" style="2" customWidth="1"/>
    <col min="7" max="7" width="11.85546875" style="2" customWidth="1"/>
    <col min="8" max="8" width="12.5703125" style="2" customWidth="1"/>
    <col min="9" max="9" width="12.5703125" style="1" customWidth="1"/>
    <col min="10" max="10" width="11.85546875" style="195" customWidth="1"/>
    <col min="11" max="11" width="24.5703125" style="2" customWidth="1"/>
    <col min="12" max="16384" width="9.140625" style="2"/>
  </cols>
  <sheetData>
    <row r="1" spans="1:11" ht="24" customHeight="1">
      <c r="A1" s="1009" t="s">
        <v>456</v>
      </c>
      <c r="B1" s="1009"/>
      <c r="C1" s="1009"/>
      <c r="D1" s="1110"/>
      <c r="E1" s="1009"/>
      <c r="F1" s="1009"/>
      <c r="G1" s="1009"/>
      <c r="H1" s="1009"/>
      <c r="I1" s="1009"/>
      <c r="J1" s="1009"/>
      <c r="K1" s="1009"/>
    </row>
    <row r="2" spans="1:11" s="3" customFormat="1" ht="18" customHeight="1">
      <c r="A2" s="1036" t="s">
        <v>569</v>
      </c>
      <c r="B2" s="1036"/>
      <c r="C2" s="1036"/>
      <c r="D2" s="1036"/>
      <c r="E2" s="1036"/>
      <c r="F2" s="1036"/>
      <c r="G2" s="1036"/>
      <c r="H2" s="1036"/>
      <c r="I2" s="1036"/>
      <c r="J2" s="1036"/>
      <c r="K2" s="1036"/>
    </row>
    <row r="3" spans="1:11" ht="15.75">
      <c r="A3" s="1037">
        <v>2019</v>
      </c>
      <c r="B3" s="1037"/>
      <c r="C3" s="1037"/>
      <c r="D3" s="1037"/>
      <c r="E3" s="1037"/>
      <c r="F3" s="1037"/>
      <c r="G3" s="1037"/>
      <c r="H3" s="1037"/>
      <c r="I3" s="1037"/>
      <c r="J3" s="1037"/>
      <c r="K3" s="1037"/>
    </row>
    <row r="4" spans="1:11" ht="15.75">
      <c r="A4" s="1037"/>
      <c r="B4" s="1037"/>
      <c r="C4" s="1037"/>
      <c r="D4" s="1037"/>
      <c r="E4" s="1037"/>
      <c r="F4" s="1037"/>
      <c r="G4" s="1037"/>
      <c r="H4" s="1037"/>
      <c r="I4" s="1037"/>
      <c r="J4" s="1037"/>
      <c r="K4" s="1037"/>
    </row>
    <row r="5" spans="1:11" ht="15.75">
      <c r="A5" s="373" t="s">
        <v>465</v>
      </c>
      <c r="B5" s="373"/>
      <c r="C5" s="378"/>
      <c r="D5" s="378"/>
      <c r="E5" s="378"/>
      <c r="F5" s="378"/>
      <c r="G5" s="378"/>
      <c r="H5" s="378"/>
      <c r="I5" s="369"/>
      <c r="J5" s="379"/>
      <c r="K5" s="375" t="s">
        <v>466</v>
      </c>
    </row>
    <row r="6" spans="1:11" ht="30.75" customHeight="1" thickBot="1">
      <c r="A6" s="1099" t="s">
        <v>250</v>
      </c>
      <c r="B6" s="1114" t="s">
        <v>430</v>
      </c>
      <c r="C6" s="1125" t="s">
        <v>457</v>
      </c>
      <c r="D6" s="1125"/>
      <c r="E6" s="1125"/>
      <c r="F6" s="1125"/>
      <c r="G6" s="1125"/>
      <c r="H6" s="1125"/>
      <c r="I6" s="1093" t="s">
        <v>636</v>
      </c>
      <c r="J6" s="1126" t="s">
        <v>451</v>
      </c>
      <c r="K6" s="1106" t="s">
        <v>289</v>
      </c>
    </row>
    <row r="7" spans="1:11" ht="59.25" customHeight="1">
      <c r="A7" s="1100"/>
      <c r="B7" s="1128"/>
      <c r="C7" s="511" t="s">
        <v>639</v>
      </c>
      <c r="D7" s="511" t="s">
        <v>640</v>
      </c>
      <c r="E7" s="511" t="s">
        <v>641</v>
      </c>
      <c r="F7" s="511" t="s">
        <v>642</v>
      </c>
      <c r="G7" s="511" t="s">
        <v>611</v>
      </c>
      <c r="H7" s="508" t="s">
        <v>108</v>
      </c>
      <c r="I7" s="1094"/>
      <c r="J7" s="1154"/>
      <c r="K7" s="1107"/>
    </row>
    <row r="8" spans="1:11" ht="24.75" customHeight="1" thickBot="1">
      <c r="A8" s="1131" t="s">
        <v>278</v>
      </c>
      <c r="B8" s="306" t="s">
        <v>452</v>
      </c>
      <c r="C8" s="803">
        <v>218</v>
      </c>
      <c r="D8" s="804">
        <v>324</v>
      </c>
      <c r="E8" s="804">
        <v>0</v>
      </c>
      <c r="F8" s="804">
        <v>13</v>
      </c>
      <c r="G8" s="805">
        <v>0</v>
      </c>
      <c r="H8" s="806">
        <f>SUM(Table_Default__XLS_TAB_27_28335[[#This Row],[BAAN_SMALLER_CNT]:[Column1]])</f>
        <v>555</v>
      </c>
      <c r="I8" s="807">
        <f>H8/$H$16%</f>
        <v>54.896142433234424</v>
      </c>
      <c r="J8" s="200" t="s">
        <v>454</v>
      </c>
      <c r="K8" s="1129" t="s">
        <v>288</v>
      </c>
    </row>
    <row r="9" spans="1:11" ht="24.75" customHeight="1" thickBot="1">
      <c r="A9" s="1132"/>
      <c r="B9" s="307" t="s">
        <v>453</v>
      </c>
      <c r="C9" s="803">
        <v>199</v>
      </c>
      <c r="D9" s="804">
        <v>85</v>
      </c>
      <c r="E9" s="804">
        <v>78</v>
      </c>
      <c r="F9" s="804">
        <v>3</v>
      </c>
      <c r="G9" s="805">
        <v>0</v>
      </c>
      <c r="H9" s="806">
        <f>SUM(Table_Default__XLS_TAB_27_28335[[#This Row],[BAAN_SMALLER_CNT]:[Column1]])</f>
        <v>365</v>
      </c>
      <c r="I9" s="807">
        <f>H9/$H$17%</f>
        <v>44.840294840294838</v>
      </c>
      <c r="J9" s="201" t="s">
        <v>455</v>
      </c>
      <c r="K9" s="1130"/>
    </row>
    <row r="10" spans="1:11" ht="24.75" customHeight="1" thickBot="1">
      <c r="A10" s="1133" t="s">
        <v>287</v>
      </c>
      <c r="B10" s="308" t="s">
        <v>452</v>
      </c>
      <c r="C10" s="808">
        <v>43</v>
      </c>
      <c r="D10" s="809">
        <v>91</v>
      </c>
      <c r="E10" s="809">
        <v>0</v>
      </c>
      <c r="F10" s="809">
        <v>6</v>
      </c>
      <c r="G10" s="810">
        <v>0</v>
      </c>
      <c r="H10" s="811">
        <f>SUM(Table_Default__XLS_TAB_27_28335[[#This Row],[BAAN_SMALLER_CNT]:[Column1]])</f>
        <v>140</v>
      </c>
      <c r="I10" s="812">
        <f>H10/$H$16%</f>
        <v>13.847675568743819</v>
      </c>
      <c r="J10" s="202" t="s">
        <v>454</v>
      </c>
      <c r="K10" s="1139" t="s">
        <v>286</v>
      </c>
    </row>
    <row r="11" spans="1:11" ht="24.75" customHeight="1" thickBot="1">
      <c r="A11" s="1133"/>
      <c r="B11" s="308" t="s">
        <v>453</v>
      </c>
      <c r="C11" s="808">
        <v>30</v>
      </c>
      <c r="D11" s="809">
        <v>12</v>
      </c>
      <c r="E11" s="809">
        <v>7</v>
      </c>
      <c r="F11" s="809">
        <v>3</v>
      </c>
      <c r="G11" s="810">
        <v>0</v>
      </c>
      <c r="H11" s="811">
        <f>SUM(Table_Default__XLS_TAB_27_28335[[#This Row],[BAAN_SMALLER_CNT]:[Column1]])</f>
        <v>52</v>
      </c>
      <c r="I11" s="812">
        <f>H11/$H$17%</f>
        <v>6.3882063882063882</v>
      </c>
      <c r="J11" s="202" t="s">
        <v>455</v>
      </c>
      <c r="K11" s="1139"/>
    </row>
    <row r="12" spans="1:11" ht="24.75" customHeight="1" thickBot="1">
      <c r="A12" s="1132" t="s">
        <v>276</v>
      </c>
      <c r="B12" s="307" t="s">
        <v>452</v>
      </c>
      <c r="C12" s="803">
        <v>8</v>
      </c>
      <c r="D12" s="804">
        <v>15</v>
      </c>
      <c r="E12" s="804">
        <v>0</v>
      </c>
      <c r="F12" s="804">
        <v>0</v>
      </c>
      <c r="G12" s="805">
        <v>0</v>
      </c>
      <c r="H12" s="806">
        <f>SUM(Table_Default__XLS_TAB_27_28335[[#This Row],[BAAN_SMALLER_CNT]:[Column1]])</f>
        <v>23</v>
      </c>
      <c r="I12" s="807">
        <f>H12/$H$16%</f>
        <v>2.2749752720079131</v>
      </c>
      <c r="J12" s="201" t="s">
        <v>454</v>
      </c>
      <c r="K12" s="1130" t="s">
        <v>285</v>
      </c>
    </row>
    <row r="13" spans="1:11" ht="24.75" customHeight="1" thickBot="1">
      <c r="A13" s="1132"/>
      <c r="B13" s="307" t="s">
        <v>453</v>
      </c>
      <c r="C13" s="803">
        <v>25</v>
      </c>
      <c r="D13" s="804">
        <v>8</v>
      </c>
      <c r="E13" s="804">
        <v>13</v>
      </c>
      <c r="F13" s="804">
        <v>0</v>
      </c>
      <c r="G13" s="805">
        <v>0</v>
      </c>
      <c r="H13" s="806">
        <f>SUM(Table_Default__XLS_TAB_27_28335[[#This Row],[BAAN_SMALLER_CNT]:[Column1]])</f>
        <v>46</v>
      </c>
      <c r="I13" s="807">
        <f>H13/$H$17%</f>
        <v>5.6511056511056506</v>
      </c>
      <c r="J13" s="201" t="s">
        <v>455</v>
      </c>
      <c r="K13" s="1130"/>
    </row>
    <row r="14" spans="1:11" ht="24.75" customHeight="1" thickBot="1">
      <c r="A14" s="1133" t="s">
        <v>275</v>
      </c>
      <c r="B14" s="308" t="s">
        <v>452</v>
      </c>
      <c r="C14" s="808">
        <v>93</v>
      </c>
      <c r="D14" s="809">
        <v>188</v>
      </c>
      <c r="E14" s="809">
        <v>0</v>
      </c>
      <c r="F14" s="809">
        <v>12</v>
      </c>
      <c r="G14" s="810">
        <v>0</v>
      </c>
      <c r="H14" s="811">
        <f>SUM(Table_Default__XLS_TAB_27_28335[[#This Row],[BAAN_SMALLER_CNT]:[Column1]])</f>
        <v>293</v>
      </c>
      <c r="I14" s="812">
        <f>H14/$H$16%</f>
        <v>28.981206726013848</v>
      </c>
      <c r="J14" s="202" t="s">
        <v>454</v>
      </c>
      <c r="K14" s="1139" t="s">
        <v>284</v>
      </c>
    </row>
    <row r="15" spans="1:11" ht="24.75" customHeight="1">
      <c r="A15" s="1155"/>
      <c r="B15" s="398" t="s">
        <v>453</v>
      </c>
      <c r="C15" s="813">
        <v>150</v>
      </c>
      <c r="D15" s="814">
        <v>99</v>
      </c>
      <c r="E15" s="814">
        <v>93</v>
      </c>
      <c r="F15" s="814">
        <v>9</v>
      </c>
      <c r="G15" s="815">
        <v>0</v>
      </c>
      <c r="H15" s="816">
        <f>SUM(Table_Default__XLS_TAB_27_28335[[#This Row],[BAAN_SMALLER_CNT]:[Column1]])</f>
        <v>351</v>
      </c>
      <c r="I15" s="817">
        <f>H15/$H$17%</f>
        <v>43.120393120393118</v>
      </c>
      <c r="J15" s="399" t="s">
        <v>455</v>
      </c>
      <c r="K15" s="1156"/>
    </row>
    <row r="16" spans="1:11" ht="18" customHeight="1" thickBot="1">
      <c r="A16" s="1157" t="s">
        <v>192</v>
      </c>
      <c r="B16" s="401" t="s">
        <v>452</v>
      </c>
      <c r="C16" s="402">
        <f>C8+C10+C12+C14</f>
        <v>362</v>
      </c>
      <c r="D16" s="402">
        <f t="shared" ref="D16:H16" si="0">D8+D10+D12+D14</f>
        <v>618</v>
      </c>
      <c r="E16" s="402">
        <f t="shared" si="0"/>
        <v>0</v>
      </c>
      <c r="F16" s="402">
        <f t="shared" si="0"/>
        <v>31</v>
      </c>
      <c r="G16" s="402">
        <f t="shared" si="0"/>
        <v>0</v>
      </c>
      <c r="H16" s="818">
        <f t="shared" si="0"/>
        <v>1011</v>
      </c>
      <c r="I16" s="397">
        <f>H16/$H$16%</f>
        <v>100</v>
      </c>
      <c r="J16" s="403" t="s">
        <v>454</v>
      </c>
      <c r="K16" s="1159" t="s">
        <v>18</v>
      </c>
    </row>
    <row r="17" spans="1:11" ht="18" customHeight="1" thickBot="1">
      <c r="A17" s="1158"/>
      <c r="B17" s="404" t="s">
        <v>453</v>
      </c>
      <c r="C17" s="402">
        <f>C9+C11+C13+C15</f>
        <v>404</v>
      </c>
      <c r="D17" s="402">
        <f t="shared" ref="D17:H17" si="1">D9+D11+D13+D15</f>
        <v>204</v>
      </c>
      <c r="E17" s="402">
        <f t="shared" si="1"/>
        <v>191</v>
      </c>
      <c r="F17" s="402">
        <f t="shared" si="1"/>
        <v>15</v>
      </c>
      <c r="G17" s="402">
        <f t="shared" si="1"/>
        <v>0</v>
      </c>
      <c r="H17" s="402">
        <f t="shared" si="1"/>
        <v>814</v>
      </c>
      <c r="I17" s="807">
        <f>H17/$H$17%</f>
        <v>100</v>
      </c>
      <c r="J17" s="405" t="s">
        <v>455</v>
      </c>
      <c r="K17" s="1160"/>
    </row>
    <row r="18" spans="1:11" ht="18" customHeight="1" thickBot="1">
      <c r="A18" s="1158"/>
      <c r="B18" s="404" t="s">
        <v>15</v>
      </c>
      <c r="C18" s="402">
        <v>8</v>
      </c>
      <c r="D18" s="819">
        <v>0</v>
      </c>
      <c r="E18" s="819">
        <v>0</v>
      </c>
      <c r="F18" s="819">
        <v>0</v>
      </c>
      <c r="G18" s="820">
        <v>0</v>
      </c>
      <c r="H18" s="820">
        <v>8</v>
      </c>
      <c r="I18" s="807"/>
      <c r="J18" s="405" t="s">
        <v>16</v>
      </c>
      <c r="K18" s="1160"/>
    </row>
    <row r="19" spans="1:11" ht="18" customHeight="1">
      <c r="A19" s="1138"/>
      <c r="B19" s="406" t="s">
        <v>240</v>
      </c>
      <c r="C19" s="296">
        <f t="shared" ref="C19:H19" si="2">C16+C17+C18</f>
        <v>774</v>
      </c>
      <c r="D19" s="296">
        <f t="shared" si="2"/>
        <v>822</v>
      </c>
      <c r="E19" s="296">
        <f t="shared" si="2"/>
        <v>191</v>
      </c>
      <c r="F19" s="296">
        <f t="shared" si="2"/>
        <v>46</v>
      </c>
      <c r="G19" s="296">
        <f t="shared" si="2"/>
        <v>0</v>
      </c>
      <c r="H19" s="296">
        <f t="shared" si="2"/>
        <v>1833</v>
      </c>
      <c r="I19" s="821"/>
      <c r="J19" s="407" t="s">
        <v>458</v>
      </c>
      <c r="K19" s="1136"/>
    </row>
    <row r="22" spans="1:11">
      <c r="C22" s="185"/>
      <c r="D22" s="185"/>
      <c r="E22" s="185"/>
      <c r="F22" s="185"/>
      <c r="G22" s="185"/>
      <c r="H22" s="185"/>
    </row>
    <row r="23" spans="1:11">
      <c r="A23" s="1"/>
      <c r="B23" s="1"/>
      <c r="C23" s="1"/>
    </row>
  </sheetData>
  <mergeCells count="20">
    <mergeCell ref="A14:A15"/>
    <mergeCell ref="K14:K15"/>
    <mergeCell ref="A16:A19"/>
    <mergeCell ref="K16:K19"/>
    <mergeCell ref="A8:A9"/>
    <mergeCell ref="K8:K9"/>
    <mergeCell ref="A10:A11"/>
    <mergeCell ref="K10:K11"/>
    <mergeCell ref="A12:A13"/>
    <mergeCell ref="K12:K13"/>
    <mergeCell ref="K6:K7"/>
    <mergeCell ref="A1:K1"/>
    <mergeCell ref="A2:K2"/>
    <mergeCell ref="A3:K3"/>
    <mergeCell ref="A4:K4"/>
    <mergeCell ref="A6:A7"/>
    <mergeCell ref="B6:B7"/>
    <mergeCell ref="C6:H6"/>
    <mergeCell ref="I6:I7"/>
    <mergeCell ref="J6:J7"/>
  </mergeCells>
  <printOptions horizontalCentered="1" verticalCentered="1"/>
  <pageMargins left="0" right="0" top="0" bottom="0" header="0" footer="0"/>
  <pageSetup paperSize="9" scale="86" orientation="landscape" r:id="rId1"/>
  <headerFooter alignWithMargins="0"/>
  <colBreaks count="1" manualBreakCount="1">
    <brk id="11" max="1048575" man="1"/>
  </colBreaks>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K22"/>
  <sheetViews>
    <sheetView rightToLeft="1" view="pageBreakPreview" topLeftCell="A4" zoomScaleNormal="100" zoomScaleSheetLayoutView="100" workbookViewId="0">
      <selection activeCell="J7" sqref="J7"/>
    </sheetView>
  </sheetViews>
  <sheetFormatPr defaultColWidth="9.140625" defaultRowHeight="12.75"/>
  <cols>
    <col min="1" max="1" width="18.42578125" style="1" customWidth="1"/>
    <col min="2" max="7" width="14.140625" style="1" customWidth="1"/>
    <col min="8" max="8" width="13.42578125" style="1" customWidth="1"/>
    <col min="9" max="9" width="23.42578125" style="1" customWidth="1"/>
    <col min="10" max="16384" width="9.140625" style="1"/>
  </cols>
  <sheetData>
    <row r="1" spans="1:11" ht="24" customHeight="1">
      <c r="A1" s="1097" t="s">
        <v>330</v>
      </c>
      <c r="B1" s="1097"/>
      <c r="C1" s="1097"/>
      <c r="D1" s="1097"/>
      <c r="E1" s="1097"/>
      <c r="F1" s="1097"/>
      <c r="G1" s="1097"/>
      <c r="H1" s="1097"/>
      <c r="I1" s="1097"/>
    </row>
    <row r="2" spans="1:11" ht="15.75" customHeight="1">
      <c r="A2" s="1050" t="s">
        <v>329</v>
      </c>
      <c r="B2" s="1050"/>
      <c r="C2" s="1050"/>
      <c r="D2" s="1050"/>
      <c r="E2" s="1050"/>
      <c r="F2" s="1050"/>
      <c r="G2" s="1050"/>
      <c r="H2" s="1050"/>
      <c r="I2" s="1050"/>
    </row>
    <row r="3" spans="1:11" ht="15.75" customHeight="1">
      <c r="A3" s="1050">
        <v>2019</v>
      </c>
      <c r="B3" s="1050"/>
      <c r="C3" s="1050"/>
      <c r="D3" s="1050"/>
      <c r="E3" s="1050"/>
      <c r="F3" s="1050"/>
      <c r="G3" s="1050"/>
      <c r="H3" s="1050"/>
      <c r="I3" s="1050"/>
    </row>
    <row r="4" spans="1:11" ht="18.75" customHeight="1">
      <c r="A4" s="1050" t="s">
        <v>53</v>
      </c>
      <c r="B4" s="1050"/>
      <c r="C4" s="1050"/>
      <c r="D4" s="1050"/>
      <c r="E4" s="1050"/>
      <c r="F4" s="1050"/>
      <c r="G4" s="1050"/>
      <c r="H4" s="1050"/>
      <c r="I4" s="1050"/>
    </row>
    <row r="5" spans="1:11" ht="18.75" customHeight="1">
      <c r="A5" s="372"/>
      <c r="B5" s="372"/>
      <c r="C5" s="372"/>
      <c r="D5" s="372"/>
      <c r="E5" s="372"/>
      <c r="F5" s="393"/>
      <c r="G5" s="372"/>
      <c r="H5" s="372"/>
      <c r="I5" s="372"/>
    </row>
    <row r="6" spans="1:11" s="31" customFormat="1" ht="16.5">
      <c r="A6" s="362" t="s">
        <v>502</v>
      </c>
      <c r="B6" s="363"/>
      <c r="C6" s="364"/>
      <c r="D6" s="364"/>
      <c r="E6" s="364"/>
      <c r="F6" s="364"/>
      <c r="G6" s="369"/>
      <c r="H6" s="369"/>
      <c r="I6" s="369" t="s">
        <v>503</v>
      </c>
    </row>
    <row r="7" spans="1:11" ht="27.75" customHeight="1" thickBot="1">
      <c r="A7" s="1150" t="s">
        <v>326</v>
      </c>
      <c r="B7" s="1143" t="s">
        <v>305</v>
      </c>
      <c r="C7" s="1143"/>
      <c r="D7" s="1143"/>
      <c r="E7" s="1143"/>
      <c r="F7" s="1143"/>
      <c r="G7" s="1143"/>
      <c r="H7" s="1093" t="s">
        <v>637</v>
      </c>
      <c r="I7" s="1095" t="s">
        <v>325</v>
      </c>
      <c r="K7" s="12"/>
    </row>
    <row r="8" spans="1:11" ht="60.75" customHeight="1">
      <c r="A8" s="1151"/>
      <c r="B8" s="511" t="s">
        <v>639</v>
      </c>
      <c r="C8" s="511" t="s">
        <v>640</v>
      </c>
      <c r="D8" s="511" t="s">
        <v>641</v>
      </c>
      <c r="E8" s="511" t="s">
        <v>1281</v>
      </c>
      <c r="F8" s="511" t="s">
        <v>611</v>
      </c>
      <c r="G8" s="508" t="s">
        <v>108</v>
      </c>
      <c r="H8" s="1152"/>
      <c r="I8" s="1149"/>
      <c r="K8" s="12"/>
    </row>
    <row r="9" spans="1:11" ht="16.5" thickBot="1">
      <c r="A9" s="23" t="s">
        <v>324</v>
      </c>
      <c r="B9" s="227">
        <v>127</v>
      </c>
      <c r="C9" s="35">
        <v>28</v>
      </c>
      <c r="D9" s="35">
        <v>41</v>
      </c>
      <c r="E9" s="35">
        <v>0</v>
      </c>
      <c r="F9" s="228">
        <v>0</v>
      </c>
      <c r="G9" s="111">
        <f>SUM(Table_Default__XLS_TAB_27_198[[#This Row],[BAAN_SMALLERQATAR]:[Column1]])</f>
        <v>196</v>
      </c>
      <c r="H9" s="54">
        <f>G9/$G$21%</f>
        <v>17.578475336322871</v>
      </c>
      <c r="I9" s="20" t="s">
        <v>323</v>
      </c>
      <c r="K9" s="12"/>
    </row>
    <row r="10" spans="1:11" ht="16.5" thickBot="1">
      <c r="A10" s="19">
        <v>-1</v>
      </c>
      <c r="B10" s="227">
        <v>255</v>
      </c>
      <c r="C10" s="35">
        <v>184</v>
      </c>
      <c r="D10" s="35">
        <v>27</v>
      </c>
      <c r="E10" s="35">
        <v>12</v>
      </c>
      <c r="F10" s="228">
        <v>0</v>
      </c>
      <c r="G10" s="111">
        <f>SUM(Table_Default__XLS_TAB_27_198[[#This Row],[BAAN_SMALLERQATAR]:[Column1]])</f>
        <v>478</v>
      </c>
      <c r="H10" s="53">
        <f t="shared" ref="H10:H20" si="0">G10/$G$21%</f>
        <v>42.869955156950674</v>
      </c>
      <c r="I10" s="17">
        <v>-1</v>
      </c>
      <c r="K10" s="12"/>
    </row>
    <row r="11" spans="1:11" ht="16.5" thickBot="1">
      <c r="A11" s="16">
        <v>1</v>
      </c>
      <c r="B11" s="227">
        <v>12</v>
      </c>
      <c r="C11" s="35">
        <v>50</v>
      </c>
      <c r="D11" s="35">
        <v>1</v>
      </c>
      <c r="E11" s="35">
        <v>0</v>
      </c>
      <c r="F11" s="228">
        <v>0</v>
      </c>
      <c r="G11" s="111">
        <f>SUM(Table_Default__XLS_TAB_27_198[[#This Row],[BAAN_SMALLERQATAR]:[Column1]])</f>
        <v>63</v>
      </c>
      <c r="H11" s="52">
        <f t="shared" si="0"/>
        <v>5.6502242152466362</v>
      </c>
      <c r="I11" s="15">
        <v>1</v>
      </c>
      <c r="K11" s="12"/>
    </row>
    <row r="12" spans="1:11" ht="16.5" thickBot="1">
      <c r="A12" s="19">
        <v>2</v>
      </c>
      <c r="B12" s="227">
        <v>8</v>
      </c>
      <c r="C12" s="35">
        <v>43</v>
      </c>
      <c r="D12" s="35">
        <v>1</v>
      </c>
      <c r="E12" s="35">
        <v>1</v>
      </c>
      <c r="F12" s="228">
        <v>0</v>
      </c>
      <c r="G12" s="111">
        <f>SUM(Table_Default__XLS_TAB_27_198[[#This Row],[BAAN_SMALLERQATAR]:[Column1]])</f>
        <v>53</v>
      </c>
      <c r="H12" s="53">
        <f t="shared" si="0"/>
        <v>4.7533632286995511</v>
      </c>
      <c r="I12" s="17">
        <v>2</v>
      </c>
      <c r="K12" s="12"/>
    </row>
    <row r="13" spans="1:11" ht="16.5" thickBot="1">
      <c r="A13" s="16">
        <v>3</v>
      </c>
      <c r="B13" s="227">
        <v>8</v>
      </c>
      <c r="C13" s="35">
        <v>34</v>
      </c>
      <c r="D13" s="35">
        <v>1</v>
      </c>
      <c r="E13" s="35">
        <v>2</v>
      </c>
      <c r="F13" s="228">
        <v>0</v>
      </c>
      <c r="G13" s="111">
        <f>SUM(Table_Default__XLS_TAB_27_198[[#This Row],[BAAN_SMALLERQATAR]:[Column1]])</f>
        <v>45</v>
      </c>
      <c r="H13" s="52">
        <f t="shared" si="0"/>
        <v>4.0358744394618835</v>
      </c>
      <c r="I13" s="15">
        <v>3</v>
      </c>
      <c r="K13" s="12"/>
    </row>
    <row r="14" spans="1:11" ht="16.5" thickBot="1">
      <c r="A14" s="19">
        <v>4</v>
      </c>
      <c r="B14" s="227">
        <v>7</v>
      </c>
      <c r="C14" s="35">
        <v>24</v>
      </c>
      <c r="D14" s="35">
        <v>1</v>
      </c>
      <c r="E14" s="35">
        <v>0</v>
      </c>
      <c r="F14" s="228">
        <v>0</v>
      </c>
      <c r="G14" s="111">
        <f>SUM(Table_Default__XLS_TAB_27_198[[#This Row],[BAAN_SMALLERQATAR]:[Column1]])</f>
        <v>32</v>
      </c>
      <c r="H14" s="53">
        <f t="shared" si="0"/>
        <v>2.8699551569506725</v>
      </c>
      <c r="I14" s="17">
        <v>4</v>
      </c>
      <c r="K14" s="12"/>
    </row>
    <row r="15" spans="1:11" ht="16.5" thickBot="1">
      <c r="A15" s="16" t="s">
        <v>1277</v>
      </c>
      <c r="B15" s="227">
        <v>26</v>
      </c>
      <c r="C15" s="35">
        <v>72</v>
      </c>
      <c r="D15" s="35">
        <v>3</v>
      </c>
      <c r="E15" s="35">
        <v>3</v>
      </c>
      <c r="F15" s="228">
        <v>0</v>
      </c>
      <c r="G15" s="111">
        <f>SUM(Table_Default__XLS_TAB_27_198[[#This Row],[BAAN_SMALLERQATAR]:[Column1]])</f>
        <v>104</v>
      </c>
      <c r="H15" s="52">
        <f t="shared" si="0"/>
        <v>9.3273542600896864</v>
      </c>
      <c r="I15" s="15" t="s">
        <v>322</v>
      </c>
      <c r="K15" s="12"/>
    </row>
    <row r="16" spans="1:11" ht="16.5" thickBot="1">
      <c r="A16" s="19" t="s">
        <v>1278</v>
      </c>
      <c r="B16" s="227">
        <v>21</v>
      </c>
      <c r="C16" s="35">
        <v>34</v>
      </c>
      <c r="D16" s="35">
        <v>3</v>
      </c>
      <c r="E16" s="35">
        <v>3</v>
      </c>
      <c r="F16" s="228">
        <v>0</v>
      </c>
      <c r="G16" s="111">
        <f>SUM(Table_Default__XLS_TAB_27_198[[#This Row],[BAAN_SMALLERQATAR]:[Column1]])</f>
        <v>61</v>
      </c>
      <c r="H16" s="53">
        <f t="shared" si="0"/>
        <v>5.4708520179372195</v>
      </c>
      <c r="I16" s="17" t="s">
        <v>321</v>
      </c>
      <c r="K16" s="12"/>
    </row>
    <row r="17" spans="1:11" ht="16.5" thickBot="1">
      <c r="A17" s="16" t="s">
        <v>1279</v>
      </c>
      <c r="B17" s="227">
        <v>12</v>
      </c>
      <c r="C17" s="35">
        <v>18</v>
      </c>
      <c r="D17" s="35">
        <v>5</v>
      </c>
      <c r="E17" s="35">
        <v>3</v>
      </c>
      <c r="F17" s="228">
        <v>0</v>
      </c>
      <c r="G17" s="111">
        <f>SUM(Table_Default__XLS_TAB_27_198[[#This Row],[BAAN_SMALLERQATAR]:[Column1]])</f>
        <v>38</v>
      </c>
      <c r="H17" s="52">
        <f t="shared" si="0"/>
        <v>3.4080717488789238</v>
      </c>
      <c r="I17" s="15" t="s">
        <v>134</v>
      </c>
      <c r="K17" s="12"/>
    </row>
    <row r="18" spans="1:11" ht="16.5" thickBot="1">
      <c r="A18" s="19" t="s">
        <v>1262</v>
      </c>
      <c r="B18" s="227">
        <v>6</v>
      </c>
      <c r="C18" s="35">
        <v>10</v>
      </c>
      <c r="D18" s="35">
        <v>2</v>
      </c>
      <c r="E18" s="35">
        <v>0</v>
      </c>
      <c r="F18" s="228">
        <v>0</v>
      </c>
      <c r="G18" s="111">
        <f>SUM(Table_Default__XLS_TAB_27_198[[#This Row],[BAAN_SMALLERQATAR]:[Column1]])</f>
        <v>18</v>
      </c>
      <c r="H18" s="53">
        <f t="shared" si="0"/>
        <v>1.6143497757847534</v>
      </c>
      <c r="I18" s="17" t="s">
        <v>128</v>
      </c>
      <c r="K18" s="12"/>
    </row>
    <row r="19" spans="1:11" ht="16.5" thickBot="1">
      <c r="A19" s="16" t="s">
        <v>441</v>
      </c>
      <c r="B19" s="227">
        <v>10</v>
      </c>
      <c r="C19" s="35">
        <v>14</v>
      </c>
      <c r="D19" s="35">
        <v>0</v>
      </c>
      <c r="E19" s="35">
        <v>1</v>
      </c>
      <c r="F19" s="228">
        <v>0</v>
      </c>
      <c r="G19" s="111">
        <f>SUM(Table_Default__XLS_TAB_27_198[[#This Row],[BAAN_SMALLERQATAR]:[Column1]])</f>
        <v>25</v>
      </c>
      <c r="H19" s="52">
        <f t="shared" si="0"/>
        <v>2.2421524663677128</v>
      </c>
      <c r="I19" s="15" t="s">
        <v>441</v>
      </c>
    </row>
    <row r="20" spans="1:11" ht="16.5" thickBot="1">
      <c r="A20" s="76" t="s">
        <v>15</v>
      </c>
      <c r="B20" s="229">
        <v>1</v>
      </c>
      <c r="C20" s="230">
        <v>1</v>
      </c>
      <c r="D20" s="230">
        <v>0</v>
      </c>
      <c r="E20" s="230">
        <v>0</v>
      </c>
      <c r="F20" s="231">
        <v>0</v>
      </c>
      <c r="G20" s="111">
        <f>SUM(Table_Default__XLS_TAB_27_198[[#This Row],[BAAN_SMALLERQATAR]:[Column1]])</f>
        <v>2</v>
      </c>
      <c r="H20" s="51">
        <f t="shared" si="0"/>
        <v>0.17937219730941703</v>
      </c>
      <c r="I20" s="75" t="s">
        <v>16</v>
      </c>
    </row>
    <row r="21" spans="1:11" ht="20.100000000000001" customHeight="1" thickBot="1">
      <c r="A21" s="30" t="s">
        <v>17</v>
      </c>
      <c r="B21" s="249">
        <f t="shared" ref="B21:G21" si="1">SUM(B9:B20)</f>
        <v>493</v>
      </c>
      <c r="C21" s="249">
        <f t="shared" si="1"/>
        <v>512</v>
      </c>
      <c r="D21" s="249">
        <f t="shared" si="1"/>
        <v>85</v>
      </c>
      <c r="E21" s="249">
        <f t="shared" si="1"/>
        <v>25</v>
      </c>
      <c r="F21" s="249">
        <f t="shared" si="1"/>
        <v>0</v>
      </c>
      <c r="G21" s="249">
        <f t="shared" si="1"/>
        <v>1115</v>
      </c>
      <c r="H21" s="250">
        <f t="shared" ref="H21" si="2">SUM(H9:H20)</f>
        <v>100.00000000000001</v>
      </c>
      <c r="I21" s="29" t="s">
        <v>56</v>
      </c>
    </row>
    <row r="22" spans="1:11" ht="20.100000000000001" customHeight="1">
      <c r="A22" s="14" t="s">
        <v>319</v>
      </c>
      <c r="B22" s="493">
        <f>B21/$G$21%</f>
        <v>44.215246636771298</v>
      </c>
      <c r="C22" s="493">
        <f t="shared" ref="C22:G22" si="3">C21/$G$21%</f>
        <v>45.91928251121076</v>
      </c>
      <c r="D22" s="493">
        <f t="shared" si="3"/>
        <v>7.623318385650224</v>
      </c>
      <c r="E22" s="493">
        <f t="shared" si="3"/>
        <v>2.2421524663677128</v>
      </c>
      <c r="F22" s="493">
        <f t="shared" si="3"/>
        <v>0</v>
      </c>
      <c r="G22" s="493">
        <f t="shared" si="3"/>
        <v>100</v>
      </c>
      <c r="H22" s="1090" t="s">
        <v>318</v>
      </c>
      <c r="I22" s="1091"/>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I22"/>
  <sheetViews>
    <sheetView rightToLeft="1" view="pageBreakPreview" topLeftCell="A4" zoomScaleNormal="100" zoomScaleSheetLayoutView="100" workbookViewId="0">
      <selection activeCell="G10" sqref="G10"/>
    </sheetView>
  </sheetViews>
  <sheetFormatPr defaultColWidth="9.140625" defaultRowHeight="12.75"/>
  <cols>
    <col min="1" max="1" width="18.42578125" style="1" customWidth="1"/>
    <col min="2" max="7" width="14.140625" style="1" customWidth="1"/>
    <col min="8" max="8" width="14.42578125" style="1" customWidth="1"/>
    <col min="9" max="9" width="23.42578125" style="1" customWidth="1"/>
    <col min="10" max="16384" width="9.140625" style="1"/>
  </cols>
  <sheetData>
    <row r="1" spans="1:9" ht="24" customHeight="1">
      <c r="A1" s="1097" t="s">
        <v>330</v>
      </c>
      <c r="B1" s="1097"/>
      <c r="C1" s="1097"/>
      <c r="D1" s="1097"/>
      <c r="E1" s="1097"/>
      <c r="F1" s="1097"/>
      <c r="G1" s="1097"/>
      <c r="H1" s="1097"/>
      <c r="I1" s="1097"/>
    </row>
    <row r="2" spans="1:9" ht="15.75" customHeight="1">
      <c r="A2" s="1050" t="s">
        <v>329</v>
      </c>
      <c r="B2" s="1050"/>
      <c r="C2" s="1050"/>
      <c r="D2" s="1050"/>
      <c r="E2" s="1050"/>
      <c r="F2" s="1050"/>
      <c r="G2" s="1050"/>
      <c r="H2" s="1050"/>
      <c r="I2" s="1050"/>
    </row>
    <row r="3" spans="1:9" ht="15.75" customHeight="1">
      <c r="A3" s="1050">
        <v>2019</v>
      </c>
      <c r="B3" s="1050"/>
      <c r="C3" s="1050"/>
      <c r="D3" s="1050"/>
      <c r="E3" s="1050"/>
      <c r="F3" s="1050"/>
      <c r="G3" s="1050"/>
      <c r="H3" s="1050"/>
      <c r="I3" s="1050"/>
    </row>
    <row r="4" spans="1:9" ht="18.75" customHeight="1">
      <c r="A4" s="1050" t="s">
        <v>52</v>
      </c>
      <c r="B4" s="1050"/>
      <c r="C4" s="1050"/>
      <c r="D4" s="1050"/>
      <c r="E4" s="1050"/>
      <c r="F4" s="1050"/>
      <c r="G4" s="1050"/>
      <c r="H4" s="1050"/>
      <c r="I4" s="1050"/>
    </row>
    <row r="5" spans="1:9" ht="18.75" customHeight="1">
      <c r="A5" s="372"/>
      <c r="B5" s="372"/>
      <c r="C5" s="372"/>
      <c r="D5" s="372"/>
      <c r="E5" s="372"/>
      <c r="F5" s="393"/>
      <c r="G5" s="372"/>
      <c r="H5" s="372"/>
      <c r="I5" s="372"/>
    </row>
    <row r="6" spans="1:9" s="31" customFormat="1" ht="16.5">
      <c r="A6" s="362" t="s">
        <v>506</v>
      </c>
      <c r="B6" s="363"/>
      <c r="C6" s="363"/>
      <c r="D6" s="363"/>
      <c r="E6" s="363"/>
      <c r="F6" s="363"/>
      <c r="G6" s="363"/>
      <c r="H6" s="363"/>
      <c r="I6" s="369" t="s">
        <v>507</v>
      </c>
    </row>
    <row r="7" spans="1:9" ht="27.75" customHeight="1" thickBot="1">
      <c r="A7" s="1150" t="s">
        <v>326</v>
      </c>
      <c r="B7" s="1143" t="s">
        <v>305</v>
      </c>
      <c r="C7" s="1143"/>
      <c r="D7" s="1143"/>
      <c r="E7" s="1143"/>
      <c r="F7" s="1143"/>
      <c r="G7" s="1143"/>
      <c r="H7" s="1093" t="s">
        <v>638</v>
      </c>
      <c r="I7" s="1095" t="s">
        <v>325</v>
      </c>
    </row>
    <row r="8" spans="1:9" ht="60.75" customHeight="1">
      <c r="A8" s="1151"/>
      <c r="B8" s="511" t="s">
        <v>639</v>
      </c>
      <c r="C8" s="511" t="s">
        <v>640</v>
      </c>
      <c r="D8" s="511" t="s">
        <v>641</v>
      </c>
      <c r="E8" s="511" t="s">
        <v>1281</v>
      </c>
      <c r="F8" s="511" t="s">
        <v>611</v>
      </c>
      <c r="G8" s="508" t="s">
        <v>108</v>
      </c>
      <c r="H8" s="1152"/>
      <c r="I8" s="1149"/>
    </row>
    <row r="9" spans="1:9" ht="16.5" customHeight="1" thickBot="1">
      <c r="A9" s="23" t="s">
        <v>324</v>
      </c>
      <c r="B9" s="227">
        <v>37</v>
      </c>
      <c r="C9" s="35">
        <v>14</v>
      </c>
      <c r="D9" s="35">
        <v>26</v>
      </c>
      <c r="E9" s="35">
        <v>0</v>
      </c>
      <c r="F9" s="228">
        <v>0</v>
      </c>
      <c r="G9" s="111">
        <f>SUM(Table_Default__XLS_TAB_27_18899[[#This Row],[BAAN_SMALLERQATAR]:[Column1]])</f>
        <v>77</v>
      </c>
      <c r="H9" s="54">
        <f>G9/$G$21%</f>
        <v>10.724233983286908</v>
      </c>
      <c r="I9" s="20" t="s">
        <v>323</v>
      </c>
    </row>
    <row r="10" spans="1:9" ht="16.5" thickBot="1">
      <c r="A10" s="19">
        <v>-1</v>
      </c>
      <c r="B10" s="227">
        <v>170</v>
      </c>
      <c r="C10" s="35">
        <v>115</v>
      </c>
      <c r="D10" s="35">
        <v>37</v>
      </c>
      <c r="E10" s="35">
        <v>12</v>
      </c>
      <c r="F10" s="228">
        <v>0</v>
      </c>
      <c r="G10" s="111">
        <f>SUM(Table_Default__XLS_TAB_27_18899[[#This Row],[BAAN_SMALLERQATAR]:[Column1]])</f>
        <v>334</v>
      </c>
      <c r="H10" s="53">
        <f t="shared" ref="H10:H20" si="0">G10/$G$21%</f>
        <v>46.518105849582177</v>
      </c>
      <c r="I10" s="17">
        <v>-1</v>
      </c>
    </row>
    <row r="11" spans="1:9" ht="14.25" customHeight="1" thickBot="1">
      <c r="A11" s="16">
        <v>1</v>
      </c>
      <c r="B11" s="227">
        <v>5</v>
      </c>
      <c r="C11" s="35">
        <v>31</v>
      </c>
      <c r="D11" s="35">
        <v>5</v>
      </c>
      <c r="E11" s="35">
        <v>1</v>
      </c>
      <c r="F11" s="228">
        <v>0</v>
      </c>
      <c r="G11" s="111">
        <f>SUM(Table_Default__XLS_TAB_27_18899[[#This Row],[BAAN_SMALLERQATAR]:[Column1]])</f>
        <v>42</v>
      </c>
      <c r="H11" s="52">
        <f t="shared" si="0"/>
        <v>5.8495821727019504</v>
      </c>
      <c r="I11" s="15">
        <v>1</v>
      </c>
    </row>
    <row r="12" spans="1:9" ht="16.5" thickBot="1">
      <c r="A12" s="19">
        <v>2</v>
      </c>
      <c r="B12" s="227">
        <v>3</v>
      </c>
      <c r="C12" s="35">
        <v>24</v>
      </c>
      <c r="D12" s="35">
        <v>7</v>
      </c>
      <c r="E12" s="35">
        <v>1</v>
      </c>
      <c r="F12" s="228">
        <v>0</v>
      </c>
      <c r="G12" s="111">
        <f>SUM(Table_Default__XLS_TAB_27_18899[[#This Row],[BAAN_SMALLERQATAR]:[Column1]])</f>
        <v>35</v>
      </c>
      <c r="H12" s="53">
        <f t="shared" si="0"/>
        <v>4.8746518105849583</v>
      </c>
      <c r="I12" s="17">
        <v>2</v>
      </c>
    </row>
    <row r="13" spans="1:9" ht="16.5" thickBot="1">
      <c r="A13" s="16">
        <v>3</v>
      </c>
      <c r="B13" s="227">
        <v>9</v>
      </c>
      <c r="C13" s="35">
        <v>14</v>
      </c>
      <c r="D13" s="35">
        <v>2</v>
      </c>
      <c r="E13" s="35">
        <v>0</v>
      </c>
      <c r="F13" s="228">
        <v>0</v>
      </c>
      <c r="G13" s="111">
        <f>SUM(Table_Default__XLS_TAB_27_18899[[#This Row],[BAAN_SMALLERQATAR]:[Column1]])</f>
        <v>25</v>
      </c>
      <c r="H13" s="52">
        <f t="shared" si="0"/>
        <v>3.4818941504178276</v>
      </c>
      <c r="I13" s="15">
        <v>3</v>
      </c>
    </row>
    <row r="14" spans="1:9" ht="16.5" thickBot="1">
      <c r="A14" s="19">
        <v>4</v>
      </c>
      <c r="B14" s="227">
        <v>6</v>
      </c>
      <c r="C14" s="35">
        <v>15</v>
      </c>
      <c r="D14" s="35">
        <v>3</v>
      </c>
      <c r="E14" s="35">
        <v>0</v>
      </c>
      <c r="F14" s="228">
        <v>0</v>
      </c>
      <c r="G14" s="111">
        <f>SUM(Table_Default__XLS_TAB_27_18899[[#This Row],[BAAN_SMALLERQATAR]:[Column1]])</f>
        <v>24</v>
      </c>
      <c r="H14" s="53">
        <f t="shared" si="0"/>
        <v>3.3426183844011144</v>
      </c>
      <c r="I14" s="17">
        <v>4</v>
      </c>
    </row>
    <row r="15" spans="1:9" ht="16.5" thickBot="1">
      <c r="A15" s="16" t="s">
        <v>1277</v>
      </c>
      <c r="B15" s="227">
        <v>22</v>
      </c>
      <c r="C15" s="35">
        <v>46</v>
      </c>
      <c r="D15" s="35">
        <v>15</v>
      </c>
      <c r="E15" s="35">
        <v>3</v>
      </c>
      <c r="F15" s="228">
        <v>0</v>
      </c>
      <c r="G15" s="111">
        <f>SUM(Table_Default__XLS_TAB_27_18899[[#This Row],[BAAN_SMALLERQATAR]:[Column1]])</f>
        <v>86</v>
      </c>
      <c r="H15" s="52">
        <f t="shared" si="0"/>
        <v>11.977715877437326</v>
      </c>
      <c r="I15" s="15" t="s">
        <v>322</v>
      </c>
    </row>
    <row r="16" spans="1:9" ht="16.5" thickBot="1">
      <c r="A16" s="19" t="s">
        <v>1278</v>
      </c>
      <c r="B16" s="227">
        <v>10</v>
      </c>
      <c r="C16" s="35">
        <v>25</v>
      </c>
      <c r="D16" s="35">
        <v>5</v>
      </c>
      <c r="E16" s="35">
        <v>1</v>
      </c>
      <c r="F16" s="228">
        <v>0</v>
      </c>
      <c r="G16" s="111">
        <f>SUM(Table_Default__XLS_TAB_27_18899[[#This Row],[BAAN_SMALLERQATAR]:[Column1]])</f>
        <v>41</v>
      </c>
      <c r="H16" s="53">
        <f t="shared" si="0"/>
        <v>5.7103064066852367</v>
      </c>
      <c r="I16" s="17" t="s">
        <v>321</v>
      </c>
    </row>
    <row r="17" spans="1:9" ht="16.5" thickBot="1">
      <c r="A17" s="16" t="s">
        <v>1279</v>
      </c>
      <c r="B17" s="227">
        <v>13</v>
      </c>
      <c r="C17" s="35">
        <v>15</v>
      </c>
      <c r="D17" s="35">
        <v>2</v>
      </c>
      <c r="E17" s="35">
        <v>0</v>
      </c>
      <c r="F17" s="228">
        <v>0</v>
      </c>
      <c r="G17" s="111">
        <f>SUM(Table_Default__XLS_TAB_27_18899[[#This Row],[BAAN_SMALLERQATAR]:[Column1]])</f>
        <v>30</v>
      </c>
      <c r="H17" s="52">
        <f t="shared" si="0"/>
        <v>4.1782729805013927</v>
      </c>
      <c r="I17" s="15" t="s">
        <v>134</v>
      </c>
    </row>
    <row r="18" spans="1:9" ht="16.5" thickBot="1">
      <c r="A18" s="19" t="s">
        <v>1262</v>
      </c>
      <c r="B18" s="227">
        <v>1</v>
      </c>
      <c r="C18" s="35">
        <v>1</v>
      </c>
      <c r="D18" s="35">
        <v>3</v>
      </c>
      <c r="E18" s="35">
        <v>2</v>
      </c>
      <c r="F18" s="228">
        <v>0</v>
      </c>
      <c r="G18" s="111">
        <f>SUM(Table_Default__XLS_TAB_27_18899[[#This Row],[BAAN_SMALLERQATAR]:[Column1]])</f>
        <v>7</v>
      </c>
      <c r="H18" s="53">
        <f t="shared" si="0"/>
        <v>0.97493036211699169</v>
      </c>
      <c r="I18" s="17" t="s">
        <v>128</v>
      </c>
    </row>
    <row r="19" spans="1:9" ht="16.5" thickBot="1">
      <c r="A19" s="16" t="s">
        <v>441</v>
      </c>
      <c r="B19" s="227">
        <v>5</v>
      </c>
      <c r="C19" s="35">
        <v>9</v>
      </c>
      <c r="D19" s="35">
        <v>1</v>
      </c>
      <c r="E19" s="35">
        <v>1</v>
      </c>
      <c r="F19" s="228">
        <v>0</v>
      </c>
      <c r="G19" s="111">
        <f>SUM(Table_Default__XLS_TAB_27_18899[[#This Row],[BAAN_SMALLERQATAR]:[Column1]])</f>
        <v>16</v>
      </c>
      <c r="H19" s="52">
        <f t="shared" si="0"/>
        <v>2.2284122562674096</v>
      </c>
      <c r="I19" s="15" t="s">
        <v>441</v>
      </c>
    </row>
    <row r="20" spans="1:9" ht="16.5" thickBot="1">
      <c r="A20" s="76" t="s">
        <v>15</v>
      </c>
      <c r="B20" s="229">
        <v>0</v>
      </c>
      <c r="C20" s="230">
        <v>1</v>
      </c>
      <c r="D20" s="230">
        <v>0</v>
      </c>
      <c r="E20" s="230">
        <v>0</v>
      </c>
      <c r="F20" s="231">
        <v>0</v>
      </c>
      <c r="G20" s="111">
        <f>SUM(Table_Default__XLS_TAB_27_18899[[#This Row],[BAAN_SMALLERQATAR]:[Column1]])</f>
        <v>1</v>
      </c>
      <c r="H20" s="51">
        <f t="shared" si="0"/>
        <v>0.1392757660167131</v>
      </c>
      <c r="I20" s="75" t="s">
        <v>16</v>
      </c>
    </row>
    <row r="21" spans="1:9" ht="20.100000000000001" customHeight="1" thickBot="1">
      <c r="A21" s="30" t="s">
        <v>17</v>
      </c>
      <c r="B21" s="249">
        <f>SUM(B9:B20)</f>
        <v>281</v>
      </c>
      <c r="C21" s="249">
        <f>SUM(C9:C20)</f>
        <v>310</v>
      </c>
      <c r="D21" s="249">
        <f>SUM(D9:D20)</f>
        <v>106</v>
      </c>
      <c r="E21" s="249">
        <f>SUM(E9:E20)</f>
        <v>21</v>
      </c>
      <c r="F21" s="249">
        <f>SUM(F9:F20)</f>
        <v>0</v>
      </c>
      <c r="G21" s="249">
        <f t="shared" ref="G21" si="1">SUM(G9:G20)</f>
        <v>718</v>
      </c>
      <c r="H21" s="250">
        <f t="shared" ref="H21" si="2">SUM(H9:H20)</f>
        <v>100.00000000000001</v>
      </c>
      <c r="I21" s="29" t="s">
        <v>56</v>
      </c>
    </row>
    <row r="22" spans="1:9" ht="20.100000000000001" customHeight="1">
      <c r="A22" s="14" t="s">
        <v>319</v>
      </c>
      <c r="B22" s="493">
        <f>B21/$G$21%</f>
        <v>39.136490250696383</v>
      </c>
      <c r="C22" s="493">
        <f t="shared" ref="C22:G22" si="3">C21/$G$21%</f>
        <v>43.175487465181057</v>
      </c>
      <c r="D22" s="493">
        <f t="shared" si="3"/>
        <v>14.763231197771589</v>
      </c>
      <c r="E22" s="493">
        <f t="shared" si="3"/>
        <v>2.9247910863509752</v>
      </c>
      <c r="F22" s="493">
        <f t="shared" si="3"/>
        <v>0</v>
      </c>
      <c r="G22" s="493">
        <f t="shared" si="3"/>
        <v>100</v>
      </c>
      <c r="H22" s="1090" t="s">
        <v>318</v>
      </c>
      <c r="I22" s="1091"/>
    </row>
  </sheetData>
  <mergeCells count="9">
    <mergeCell ref="H22:I22"/>
    <mergeCell ref="A1:I1"/>
    <mergeCell ref="A2:I2"/>
    <mergeCell ref="A3:I3"/>
    <mergeCell ref="A7:A8"/>
    <mergeCell ref="B7:G7"/>
    <mergeCell ref="H7:H8"/>
    <mergeCell ref="I7:I8"/>
    <mergeCell ref="A4:I4"/>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I22"/>
  <sheetViews>
    <sheetView rightToLeft="1" view="pageBreakPreview" topLeftCell="A4" zoomScaleNormal="100" zoomScaleSheetLayoutView="100" workbookViewId="0">
      <selection activeCell="I16" sqref="I16"/>
    </sheetView>
  </sheetViews>
  <sheetFormatPr defaultColWidth="9.140625" defaultRowHeight="12.75"/>
  <cols>
    <col min="1" max="1" width="18.42578125" style="1" customWidth="1"/>
    <col min="2" max="7" width="14.140625" style="1" customWidth="1"/>
    <col min="8" max="8" width="13.42578125" style="1" customWidth="1"/>
    <col min="9" max="9" width="23.42578125" style="1" customWidth="1"/>
    <col min="10" max="16384" width="9.140625" style="1"/>
  </cols>
  <sheetData>
    <row r="1" spans="1:9" ht="24" customHeight="1">
      <c r="A1" s="1097" t="s">
        <v>330</v>
      </c>
      <c r="B1" s="1097"/>
      <c r="C1" s="1097"/>
      <c r="D1" s="1097"/>
      <c r="E1" s="1097"/>
      <c r="F1" s="1097"/>
      <c r="G1" s="1097"/>
      <c r="H1" s="1097"/>
      <c r="I1" s="1097"/>
    </row>
    <row r="2" spans="1:9" ht="15.75" customHeight="1">
      <c r="A2" s="1050" t="s">
        <v>329</v>
      </c>
      <c r="B2" s="1050"/>
      <c r="C2" s="1050"/>
      <c r="D2" s="1050"/>
      <c r="E2" s="1050"/>
      <c r="F2" s="1050"/>
      <c r="G2" s="1050"/>
      <c r="H2" s="1050"/>
      <c r="I2" s="1050"/>
    </row>
    <row r="3" spans="1:9" ht="15.75" customHeight="1">
      <c r="A3" s="1050">
        <v>2019</v>
      </c>
      <c r="B3" s="1050"/>
      <c r="C3" s="1050"/>
      <c r="D3" s="1050"/>
      <c r="E3" s="1050"/>
      <c r="F3" s="1050"/>
      <c r="G3" s="1050"/>
      <c r="H3" s="1050"/>
      <c r="I3" s="1050"/>
    </row>
    <row r="4" spans="1:9" ht="18.75" customHeight="1">
      <c r="A4" s="1050" t="s">
        <v>1</v>
      </c>
      <c r="B4" s="1050"/>
      <c r="C4" s="1050"/>
      <c r="D4" s="1050"/>
      <c r="E4" s="1050"/>
      <c r="F4" s="1050"/>
      <c r="G4" s="1050"/>
      <c r="H4" s="1050"/>
      <c r="I4" s="1050"/>
    </row>
    <row r="5" spans="1:9" ht="18.75" customHeight="1">
      <c r="A5" s="372"/>
      <c r="B5" s="372"/>
      <c r="C5" s="372"/>
      <c r="D5" s="372"/>
      <c r="E5" s="372"/>
      <c r="F5" s="393"/>
      <c r="G5" s="372"/>
      <c r="H5" s="372"/>
      <c r="I5" s="372"/>
    </row>
    <row r="6" spans="1:9" s="31" customFormat="1" ht="16.5">
      <c r="A6" s="362" t="s">
        <v>504</v>
      </c>
      <c r="B6" s="363"/>
      <c r="C6" s="364"/>
      <c r="D6" s="364"/>
      <c r="E6" s="364"/>
      <c r="F6" s="364"/>
      <c r="G6" s="369"/>
      <c r="H6" s="369"/>
      <c r="I6" s="369" t="s">
        <v>505</v>
      </c>
    </row>
    <row r="7" spans="1:9" ht="27.75" customHeight="1" thickBot="1">
      <c r="A7" s="1150" t="s">
        <v>326</v>
      </c>
      <c r="B7" s="1143" t="s">
        <v>305</v>
      </c>
      <c r="C7" s="1143"/>
      <c r="D7" s="1143"/>
      <c r="E7" s="1143"/>
      <c r="F7" s="1143"/>
      <c r="G7" s="1143"/>
      <c r="H7" s="1093" t="s">
        <v>638</v>
      </c>
      <c r="I7" s="1095" t="s">
        <v>325</v>
      </c>
    </row>
    <row r="8" spans="1:9" ht="60.75" customHeight="1">
      <c r="A8" s="1153"/>
      <c r="B8" s="511" t="s">
        <v>639</v>
      </c>
      <c r="C8" s="511" t="s">
        <v>640</v>
      </c>
      <c r="D8" s="511" t="s">
        <v>641</v>
      </c>
      <c r="E8" s="511" t="s">
        <v>1281</v>
      </c>
      <c r="F8" s="511" t="s">
        <v>611</v>
      </c>
      <c r="G8" s="318" t="s">
        <v>108</v>
      </c>
      <c r="H8" s="1094"/>
      <c r="I8" s="1096"/>
    </row>
    <row r="9" spans="1:9" ht="16.5" thickBot="1">
      <c r="A9" s="242" t="s">
        <v>324</v>
      </c>
      <c r="B9" s="740">
        <v>164</v>
      </c>
      <c r="C9" s="35">
        <v>42</v>
      </c>
      <c r="D9" s="35">
        <v>67</v>
      </c>
      <c r="E9" s="35">
        <v>0</v>
      </c>
      <c r="F9" s="228">
        <v>0</v>
      </c>
      <c r="G9" s="111">
        <f>SUM(Table_Default__XLS_TAB_27_3100[[#This Row],[BAAN_SMALLERQATAR]:[Column1]])</f>
        <v>273</v>
      </c>
      <c r="H9" s="901">
        <f t="shared" ref="H9:H20" si="0">G9/$G$21%</f>
        <v>14.893617021276597</v>
      </c>
      <c r="I9" s="29" t="s">
        <v>323</v>
      </c>
    </row>
    <row r="10" spans="1:9" ht="16.5" thickBot="1">
      <c r="A10" s="243">
        <v>-1</v>
      </c>
      <c r="B10" s="35">
        <v>425</v>
      </c>
      <c r="C10" s="35">
        <v>299</v>
      </c>
      <c r="D10" s="35">
        <v>64</v>
      </c>
      <c r="E10" s="35">
        <v>24</v>
      </c>
      <c r="F10" s="228">
        <v>0</v>
      </c>
      <c r="G10" s="111">
        <f>SUM(Table_Default__XLS_TAB_27_3100[[#This Row],[BAAN_SMALLERQATAR]:[Column1]])</f>
        <v>812</v>
      </c>
      <c r="H10" s="245">
        <f t="shared" si="0"/>
        <v>44.298963447899624</v>
      </c>
      <c r="I10" s="17">
        <v>-1</v>
      </c>
    </row>
    <row r="11" spans="1:9" ht="16.5" thickBot="1">
      <c r="A11" s="244">
        <v>1</v>
      </c>
      <c r="B11" s="35">
        <v>17</v>
      </c>
      <c r="C11" s="35">
        <v>81</v>
      </c>
      <c r="D11" s="35">
        <v>6</v>
      </c>
      <c r="E11" s="35">
        <v>1</v>
      </c>
      <c r="F11" s="228">
        <v>0</v>
      </c>
      <c r="G11" s="111">
        <f>SUM(Table_Default__XLS_TAB_27_3100[[#This Row],[BAAN_SMALLERQATAR]:[Column1]])</f>
        <v>105</v>
      </c>
      <c r="H11" s="246">
        <f t="shared" si="0"/>
        <v>5.728314238952537</v>
      </c>
      <c r="I11" s="15">
        <v>1</v>
      </c>
    </row>
    <row r="12" spans="1:9" ht="16.5" thickBot="1">
      <c r="A12" s="243">
        <v>2</v>
      </c>
      <c r="B12" s="35">
        <v>11</v>
      </c>
      <c r="C12" s="35">
        <v>67</v>
      </c>
      <c r="D12" s="35">
        <v>8</v>
      </c>
      <c r="E12" s="35">
        <v>2</v>
      </c>
      <c r="F12" s="228">
        <v>0</v>
      </c>
      <c r="G12" s="111">
        <f>SUM(Table_Default__XLS_TAB_27_3100[[#This Row],[BAAN_SMALLERQATAR]:[Column1]])</f>
        <v>88</v>
      </c>
      <c r="H12" s="245">
        <f t="shared" si="0"/>
        <v>4.8008728859792695</v>
      </c>
      <c r="I12" s="17">
        <v>2</v>
      </c>
    </row>
    <row r="13" spans="1:9" ht="16.5" thickBot="1">
      <c r="A13" s="244">
        <v>3</v>
      </c>
      <c r="B13" s="35">
        <v>17</v>
      </c>
      <c r="C13" s="35">
        <v>48</v>
      </c>
      <c r="D13" s="35">
        <v>3</v>
      </c>
      <c r="E13" s="35">
        <v>2</v>
      </c>
      <c r="F13" s="228">
        <v>0</v>
      </c>
      <c r="G13" s="111">
        <f>SUM(Table_Default__XLS_TAB_27_3100[[#This Row],[BAAN_SMALLERQATAR]:[Column1]])</f>
        <v>70</v>
      </c>
      <c r="H13" s="246">
        <f t="shared" si="0"/>
        <v>3.8188761593016918</v>
      </c>
      <c r="I13" s="15">
        <v>3</v>
      </c>
    </row>
    <row r="14" spans="1:9" ht="16.5" thickBot="1">
      <c r="A14" s="243">
        <v>4</v>
      </c>
      <c r="B14" s="35">
        <v>13</v>
      </c>
      <c r="C14" s="35">
        <v>39</v>
      </c>
      <c r="D14" s="35">
        <v>4</v>
      </c>
      <c r="E14" s="35">
        <v>0</v>
      </c>
      <c r="F14" s="228">
        <v>0</v>
      </c>
      <c r="G14" s="111">
        <f>SUM(Table_Default__XLS_TAB_27_3100[[#This Row],[BAAN_SMALLERQATAR]:[Column1]])</f>
        <v>56</v>
      </c>
      <c r="H14" s="245">
        <f t="shared" si="0"/>
        <v>3.0551009274413534</v>
      </c>
      <c r="I14" s="17">
        <v>4</v>
      </c>
    </row>
    <row r="15" spans="1:9" ht="16.5" thickBot="1">
      <c r="A15" s="16" t="s">
        <v>1277</v>
      </c>
      <c r="B15" s="35">
        <v>48</v>
      </c>
      <c r="C15" s="35">
        <v>118</v>
      </c>
      <c r="D15" s="35">
        <v>18</v>
      </c>
      <c r="E15" s="35">
        <v>6</v>
      </c>
      <c r="F15" s="228">
        <v>0</v>
      </c>
      <c r="G15" s="111">
        <f>SUM(Table_Default__XLS_TAB_27_3100[[#This Row],[BAAN_SMALLERQATAR]:[Column1]])</f>
        <v>190</v>
      </c>
      <c r="H15" s="246">
        <f t="shared" si="0"/>
        <v>10.365521003818877</v>
      </c>
      <c r="I15" s="15" t="s">
        <v>322</v>
      </c>
    </row>
    <row r="16" spans="1:9" ht="16.5" thickBot="1">
      <c r="A16" s="19" t="s">
        <v>1278</v>
      </c>
      <c r="B16" s="35">
        <v>31</v>
      </c>
      <c r="C16" s="35">
        <v>59</v>
      </c>
      <c r="D16" s="35">
        <v>8</v>
      </c>
      <c r="E16" s="35">
        <v>4</v>
      </c>
      <c r="F16" s="228">
        <v>0</v>
      </c>
      <c r="G16" s="111">
        <f>SUM(Table_Default__XLS_TAB_27_3100[[#This Row],[BAAN_SMALLERQATAR]:[Column1]])</f>
        <v>102</v>
      </c>
      <c r="H16" s="245">
        <f t="shared" si="0"/>
        <v>5.5646481178396074</v>
      </c>
      <c r="I16" s="17" t="s">
        <v>321</v>
      </c>
    </row>
    <row r="17" spans="1:9" ht="16.5" thickBot="1">
      <c r="A17" s="16" t="s">
        <v>1279</v>
      </c>
      <c r="B17" s="35">
        <v>25</v>
      </c>
      <c r="C17" s="35">
        <v>33</v>
      </c>
      <c r="D17" s="35">
        <v>7</v>
      </c>
      <c r="E17" s="35">
        <v>3</v>
      </c>
      <c r="F17" s="228">
        <v>0</v>
      </c>
      <c r="G17" s="111">
        <f>SUM(Table_Default__XLS_TAB_27_3100[[#This Row],[BAAN_SMALLERQATAR]:[Column1]])</f>
        <v>68</v>
      </c>
      <c r="H17" s="246">
        <f t="shared" si="0"/>
        <v>3.7097654118930716</v>
      </c>
      <c r="I17" s="15" t="s">
        <v>134</v>
      </c>
    </row>
    <row r="18" spans="1:9" ht="16.5" thickBot="1">
      <c r="A18" s="19" t="s">
        <v>1262</v>
      </c>
      <c r="B18" s="35">
        <v>7</v>
      </c>
      <c r="C18" s="35">
        <v>11</v>
      </c>
      <c r="D18" s="35">
        <v>5</v>
      </c>
      <c r="E18" s="35">
        <v>2</v>
      </c>
      <c r="F18" s="228">
        <v>0</v>
      </c>
      <c r="G18" s="111">
        <f>SUM(Table_Default__XLS_TAB_27_3100[[#This Row],[BAAN_SMALLERQATAR]:[Column1]])</f>
        <v>25</v>
      </c>
      <c r="H18" s="245">
        <f t="shared" si="0"/>
        <v>1.3638843426077469</v>
      </c>
      <c r="I18" s="17" t="s">
        <v>128</v>
      </c>
    </row>
    <row r="19" spans="1:9" ht="16.5" thickBot="1">
      <c r="A19" s="16" t="s">
        <v>441</v>
      </c>
      <c r="B19" s="35">
        <v>15</v>
      </c>
      <c r="C19" s="35">
        <v>23</v>
      </c>
      <c r="D19" s="35">
        <v>1</v>
      </c>
      <c r="E19" s="35">
        <v>2</v>
      </c>
      <c r="F19" s="228">
        <v>0</v>
      </c>
      <c r="G19" s="111">
        <f>SUM(Table_Default__XLS_TAB_27_3100[[#This Row],[BAAN_SMALLERQATAR]:[Column1]])</f>
        <v>41</v>
      </c>
      <c r="H19" s="246">
        <f t="shared" si="0"/>
        <v>2.2367703218767052</v>
      </c>
      <c r="I19" s="15" t="s">
        <v>320</v>
      </c>
    </row>
    <row r="20" spans="1:9" ht="16.5" thickBot="1">
      <c r="A20" s="76" t="s">
        <v>15</v>
      </c>
      <c r="B20" s="230">
        <v>1</v>
      </c>
      <c r="C20" s="230">
        <v>2</v>
      </c>
      <c r="D20" s="230">
        <v>0</v>
      </c>
      <c r="E20" s="230">
        <v>0</v>
      </c>
      <c r="F20" s="231">
        <v>0</v>
      </c>
      <c r="G20" s="111">
        <f>SUM(Table_Default__XLS_TAB_27_3100[[#This Row],[BAAN_SMALLERQATAR]:[Column1]])</f>
        <v>3</v>
      </c>
      <c r="H20" s="248">
        <f t="shared" si="0"/>
        <v>0.16366612111292964</v>
      </c>
      <c r="I20" s="75" t="s">
        <v>16</v>
      </c>
    </row>
    <row r="21" spans="1:9" ht="20.100000000000001" customHeight="1" thickBot="1">
      <c r="A21" s="30" t="s">
        <v>17</v>
      </c>
      <c r="B21" s="251">
        <f t="shared" ref="B21:G21" si="1">SUM(B9:B20)</f>
        <v>774</v>
      </c>
      <c r="C21" s="251">
        <f t="shared" si="1"/>
        <v>822</v>
      </c>
      <c r="D21" s="251">
        <f t="shared" si="1"/>
        <v>191</v>
      </c>
      <c r="E21" s="251">
        <f t="shared" si="1"/>
        <v>46</v>
      </c>
      <c r="F21" s="251">
        <f t="shared" si="1"/>
        <v>0</v>
      </c>
      <c r="G21" s="251">
        <f t="shared" si="1"/>
        <v>1833</v>
      </c>
      <c r="H21" s="250">
        <f t="shared" ref="H21" si="2">SUM(H9:H20)</f>
        <v>100.00000000000003</v>
      </c>
      <c r="I21" s="29" t="s">
        <v>56</v>
      </c>
    </row>
    <row r="22" spans="1:9" ht="20.100000000000001" customHeight="1">
      <c r="A22" s="14" t="s">
        <v>319</v>
      </c>
      <c r="B22" s="493">
        <f>B21/$G$21%</f>
        <v>42.225859247135844</v>
      </c>
      <c r="C22" s="493">
        <f t="shared" ref="C22:F22" si="3">C21/$G$21%</f>
        <v>44.844517184942724</v>
      </c>
      <c r="D22" s="493">
        <f t="shared" si="3"/>
        <v>10.420076377523188</v>
      </c>
      <c r="E22" s="493">
        <f t="shared" si="3"/>
        <v>2.5095471903982545</v>
      </c>
      <c r="F22" s="493">
        <f t="shared" si="3"/>
        <v>0</v>
      </c>
      <c r="G22" s="493">
        <f>SUM(B22:E22)</f>
        <v>100.00000000000001</v>
      </c>
      <c r="H22" s="1090" t="s">
        <v>318</v>
      </c>
      <c r="I22" s="1091"/>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N24"/>
  <sheetViews>
    <sheetView rightToLeft="1" view="pageBreakPreview" topLeftCell="A7" zoomScaleNormal="100" zoomScaleSheetLayoutView="100" workbookViewId="0">
      <selection activeCell="K14" sqref="K14"/>
    </sheetView>
  </sheetViews>
  <sheetFormatPr defaultColWidth="9.140625" defaultRowHeight="12.75"/>
  <cols>
    <col min="1" max="1" width="17.42578125" style="88" customWidth="1"/>
    <col min="2" max="11" width="8.42578125" style="1" customWidth="1"/>
    <col min="12" max="12" width="8.42578125" style="411" customWidth="1"/>
    <col min="13" max="13" width="13.140625" style="1" customWidth="1"/>
    <col min="14" max="14" width="18.140625" style="88" customWidth="1"/>
    <col min="15" max="16384" width="9.140625" style="1"/>
  </cols>
  <sheetData>
    <row r="1" spans="1:14" s="2" customFormat="1" ht="18">
      <c r="A1" s="1009" t="s">
        <v>460</v>
      </c>
      <c r="B1" s="1009"/>
      <c r="C1" s="1009"/>
      <c r="D1" s="1009"/>
      <c r="E1" s="1009"/>
      <c r="F1" s="1009"/>
      <c r="G1" s="1009"/>
      <c r="H1" s="1009"/>
      <c r="I1" s="1009"/>
      <c r="J1" s="1009"/>
      <c r="K1" s="1009"/>
      <c r="L1" s="1009"/>
      <c r="M1" s="1009"/>
      <c r="N1" s="1009"/>
    </row>
    <row r="2" spans="1:14" s="3" customFormat="1" ht="37.5" customHeight="1">
      <c r="A2" s="1036" t="s">
        <v>562</v>
      </c>
      <c r="B2" s="1036"/>
      <c r="C2" s="1036"/>
      <c r="D2" s="1036"/>
      <c r="E2" s="1036"/>
      <c r="F2" s="1036"/>
      <c r="G2" s="1036"/>
      <c r="H2" s="1036"/>
      <c r="I2" s="1036"/>
      <c r="J2" s="1036"/>
      <c r="K2" s="1036"/>
      <c r="L2" s="1036"/>
      <c r="M2" s="1036"/>
      <c r="N2" s="1036"/>
    </row>
    <row r="3" spans="1:14" s="2" customFormat="1" ht="15.75">
      <c r="A3" s="1037">
        <v>2019</v>
      </c>
      <c r="B3" s="1037"/>
      <c r="C3" s="1037"/>
      <c r="D3" s="1037"/>
      <c r="E3" s="1037"/>
      <c r="F3" s="1037"/>
      <c r="G3" s="1037"/>
      <c r="H3" s="1037"/>
      <c r="I3" s="1037"/>
      <c r="J3" s="1037"/>
      <c r="K3" s="1037"/>
      <c r="L3" s="1037"/>
      <c r="M3" s="1037"/>
      <c r="N3" s="1037"/>
    </row>
    <row r="4" spans="1:14" s="2" customFormat="1" ht="15.75">
      <c r="A4" s="1037"/>
      <c r="B4" s="1037"/>
      <c r="C4" s="1037"/>
      <c r="D4" s="1037"/>
      <c r="E4" s="1037"/>
      <c r="F4" s="1037"/>
      <c r="G4" s="1037"/>
      <c r="H4" s="1037"/>
      <c r="I4" s="1037"/>
      <c r="J4" s="1037"/>
      <c r="K4" s="1037"/>
      <c r="L4" s="1037"/>
      <c r="M4" s="1037"/>
      <c r="N4" s="1037"/>
    </row>
    <row r="5" spans="1:14" ht="15.75">
      <c r="A5" s="380" t="s">
        <v>508</v>
      </c>
      <c r="B5" s="377"/>
      <c r="C5" s="377"/>
      <c r="D5" s="377"/>
      <c r="E5" s="377"/>
      <c r="F5" s="377"/>
      <c r="G5" s="377"/>
      <c r="H5" s="377"/>
      <c r="I5" s="377"/>
      <c r="J5" s="377"/>
      <c r="K5" s="377"/>
      <c r="L5" s="410"/>
      <c r="M5" s="377"/>
      <c r="N5" s="381" t="s">
        <v>509</v>
      </c>
    </row>
    <row r="6" spans="1:14" ht="24.75" customHeight="1" thickBot="1">
      <c r="A6" s="1161" t="s">
        <v>391</v>
      </c>
      <c r="B6" s="1164" t="s">
        <v>459</v>
      </c>
      <c r="C6" s="1165"/>
      <c r="D6" s="1165"/>
      <c r="E6" s="1165"/>
      <c r="F6" s="1165"/>
      <c r="G6" s="1165"/>
      <c r="H6" s="1165"/>
      <c r="I6" s="1166"/>
      <c r="J6" s="1167" t="s">
        <v>650</v>
      </c>
      <c r="K6" s="1167"/>
      <c r="L6" s="1167"/>
      <c r="M6" s="1113" t="s">
        <v>651</v>
      </c>
      <c r="N6" s="1169" t="s">
        <v>390</v>
      </c>
    </row>
    <row r="7" spans="1:14" ht="70.5" customHeight="1" thickBot="1">
      <c r="A7" s="1162"/>
      <c r="B7" s="1172" t="s">
        <v>643</v>
      </c>
      <c r="C7" s="1172"/>
      <c r="D7" s="1172" t="s">
        <v>644</v>
      </c>
      <c r="E7" s="1172"/>
      <c r="F7" s="1172" t="s">
        <v>645</v>
      </c>
      <c r="G7" s="1172"/>
      <c r="H7" s="1172" t="s">
        <v>646</v>
      </c>
      <c r="I7" s="1172"/>
      <c r="J7" s="1168"/>
      <c r="K7" s="1168"/>
      <c r="L7" s="1168"/>
      <c r="M7" s="1173"/>
      <c r="N7" s="1170"/>
    </row>
    <row r="8" spans="1:14" ht="36.75" customHeight="1">
      <c r="A8" s="1163"/>
      <c r="B8" s="510" t="s">
        <v>647</v>
      </c>
      <c r="C8" s="510" t="s">
        <v>648</v>
      </c>
      <c r="D8" s="510" t="s">
        <v>647</v>
      </c>
      <c r="E8" s="510" t="s">
        <v>648</v>
      </c>
      <c r="F8" s="510" t="s">
        <v>647</v>
      </c>
      <c r="G8" s="510" t="s">
        <v>648</v>
      </c>
      <c r="H8" s="510" t="s">
        <v>647</v>
      </c>
      <c r="I8" s="510" t="s">
        <v>648</v>
      </c>
      <c r="J8" s="179" t="s">
        <v>647</v>
      </c>
      <c r="K8" s="179" t="s">
        <v>648</v>
      </c>
      <c r="L8" s="179" t="s">
        <v>649</v>
      </c>
      <c r="M8" s="1173"/>
      <c r="N8" s="1171"/>
    </row>
    <row r="9" spans="1:14" ht="27" customHeight="1" thickBot="1">
      <c r="A9" s="90" t="s">
        <v>324</v>
      </c>
      <c r="B9" s="22">
        <v>115</v>
      </c>
      <c r="C9" s="22">
        <v>63</v>
      </c>
      <c r="D9" s="22">
        <v>14</v>
      </c>
      <c r="E9" s="22">
        <v>4</v>
      </c>
      <c r="F9" s="22">
        <v>3</v>
      </c>
      <c r="G9" s="22">
        <v>2</v>
      </c>
      <c r="H9" s="22">
        <v>30</v>
      </c>
      <c r="I9" s="22">
        <v>42</v>
      </c>
      <c r="J9" s="21">
        <v>162</v>
      </c>
      <c r="K9" s="21">
        <v>111</v>
      </c>
      <c r="L9" s="21">
        <v>0</v>
      </c>
      <c r="M9" s="305">
        <f>Table_Default__XLS_TAB_30_281[[#This Row],[TOT_HSB_CNT]]+Table_Default__XLS_TAB_30_281[[#This Row],[TOT_WFE_CNT]]+Table_Default__XLS_TAB_30_281[[#This Row],[TOT_NOTSTAT_CNT]]</f>
        <v>273</v>
      </c>
      <c r="N9" s="89" t="s">
        <v>323</v>
      </c>
    </row>
    <row r="10" spans="1:14" ht="18" customHeight="1" thickBot="1">
      <c r="A10" s="386" t="s">
        <v>438</v>
      </c>
      <c r="B10" s="22">
        <v>206</v>
      </c>
      <c r="C10" s="22">
        <v>183</v>
      </c>
      <c r="D10" s="22">
        <v>53</v>
      </c>
      <c r="E10" s="22">
        <v>33</v>
      </c>
      <c r="F10" s="22">
        <v>7</v>
      </c>
      <c r="G10" s="22">
        <v>26</v>
      </c>
      <c r="H10" s="22">
        <v>112</v>
      </c>
      <c r="I10" s="22">
        <v>186</v>
      </c>
      <c r="J10" s="21">
        <v>378</v>
      </c>
      <c r="K10" s="21">
        <v>428</v>
      </c>
      <c r="L10" s="21">
        <v>6</v>
      </c>
      <c r="M10" s="305">
        <f>Table_Default__XLS_TAB_30_281[[#This Row],[TOT_HSB_CNT]]+Table_Default__XLS_TAB_30_281[[#This Row],[TOT_WFE_CNT]]+Table_Default__XLS_TAB_30_281[[#This Row],[TOT_NOTSTAT_CNT]]</f>
        <v>812</v>
      </c>
      <c r="N10" s="387" t="s">
        <v>438</v>
      </c>
    </row>
    <row r="11" spans="1:14" ht="18" customHeight="1" thickBot="1">
      <c r="A11" s="386" t="s">
        <v>439</v>
      </c>
      <c r="B11" s="22">
        <v>38</v>
      </c>
      <c r="C11" s="22">
        <v>17</v>
      </c>
      <c r="D11" s="22">
        <v>6</v>
      </c>
      <c r="E11" s="22">
        <v>2</v>
      </c>
      <c r="F11" s="22">
        <v>1</v>
      </c>
      <c r="G11" s="22">
        <v>0</v>
      </c>
      <c r="H11" s="22">
        <v>24</v>
      </c>
      <c r="I11" s="22">
        <v>17</v>
      </c>
      <c r="J11" s="21">
        <v>69</v>
      </c>
      <c r="K11" s="21">
        <v>36</v>
      </c>
      <c r="L11" s="21">
        <v>0</v>
      </c>
      <c r="M11" s="305">
        <f>Table_Default__XLS_TAB_30_281[[#This Row],[TOT_HSB_CNT]]+Table_Default__XLS_TAB_30_281[[#This Row],[TOT_WFE_CNT]]+Table_Default__XLS_TAB_30_281[[#This Row],[TOT_NOTSTAT_CNT]]</f>
        <v>105</v>
      </c>
      <c r="N11" s="387" t="s">
        <v>439</v>
      </c>
    </row>
    <row r="12" spans="1:14" ht="18" customHeight="1" thickBot="1">
      <c r="A12" s="386" t="s">
        <v>440</v>
      </c>
      <c r="B12" s="22">
        <v>29</v>
      </c>
      <c r="C12" s="22">
        <v>6</v>
      </c>
      <c r="D12" s="22">
        <v>16</v>
      </c>
      <c r="E12" s="22">
        <v>2</v>
      </c>
      <c r="F12" s="22">
        <v>0</v>
      </c>
      <c r="G12" s="22">
        <v>2</v>
      </c>
      <c r="H12" s="22">
        <v>18</v>
      </c>
      <c r="I12" s="22">
        <v>15</v>
      </c>
      <c r="J12" s="21">
        <v>63</v>
      </c>
      <c r="K12" s="21">
        <v>25</v>
      </c>
      <c r="L12" s="21">
        <v>0</v>
      </c>
      <c r="M12" s="305">
        <f>Table_Default__XLS_TAB_30_281[[#This Row],[TOT_HSB_CNT]]+Table_Default__XLS_TAB_30_281[[#This Row],[TOT_WFE_CNT]]+Table_Default__XLS_TAB_30_281[[#This Row],[TOT_NOTSTAT_CNT]]</f>
        <v>88</v>
      </c>
      <c r="N12" s="387" t="s">
        <v>440</v>
      </c>
    </row>
    <row r="13" spans="1:14" ht="18" customHeight="1" thickBot="1">
      <c r="A13" s="386" t="s">
        <v>428</v>
      </c>
      <c r="B13" s="22">
        <v>27</v>
      </c>
      <c r="C13" s="22">
        <v>7</v>
      </c>
      <c r="D13" s="22">
        <v>8</v>
      </c>
      <c r="E13" s="22">
        <v>3</v>
      </c>
      <c r="F13" s="22">
        <v>0</v>
      </c>
      <c r="G13" s="22">
        <v>2</v>
      </c>
      <c r="H13" s="22">
        <v>14</v>
      </c>
      <c r="I13" s="22">
        <v>9</v>
      </c>
      <c r="J13" s="21">
        <v>49</v>
      </c>
      <c r="K13" s="21">
        <v>21</v>
      </c>
      <c r="L13" s="21">
        <v>0</v>
      </c>
      <c r="M13" s="305">
        <f>Table_Default__XLS_TAB_30_281[[#This Row],[TOT_HSB_CNT]]+Table_Default__XLS_TAB_30_281[[#This Row],[TOT_WFE_CNT]]+Table_Default__XLS_TAB_30_281[[#This Row],[TOT_NOTSTAT_CNT]]</f>
        <v>70</v>
      </c>
      <c r="N13" s="387" t="s">
        <v>428</v>
      </c>
    </row>
    <row r="14" spans="1:14" ht="18" customHeight="1" thickBot="1">
      <c r="A14" s="386" t="s">
        <v>25</v>
      </c>
      <c r="B14" s="22">
        <v>14</v>
      </c>
      <c r="C14" s="22">
        <v>8</v>
      </c>
      <c r="D14" s="22">
        <v>10</v>
      </c>
      <c r="E14" s="22">
        <v>0</v>
      </c>
      <c r="F14" s="22">
        <v>2</v>
      </c>
      <c r="G14" s="22">
        <v>0</v>
      </c>
      <c r="H14" s="22">
        <v>15</v>
      </c>
      <c r="I14" s="22">
        <v>7</v>
      </c>
      <c r="J14" s="21">
        <v>41</v>
      </c>
      <c r="K14" s="21">
        <v>15</v>
      </c>
      <c r="L14" s="21">
        <v>0</v>
      </c>
      <c r="M14" s="305">
        <f>Table_Default__XLS_TAB_30_281[[#This Row],[TOT_HSB_CNT]]+Table_Default__XLS_TAB_30_281[[#This Row],[TOT_WFE_CNT]]+Table_Default__XLS_TAB_30_281[[#This Row],[TOT_NOTSTAT_CNT]]</f>
        <v>56</v>
      </c>
      <c r="N14" s="387" t="s">
        <v>25</v>
      </c>
    </row>
    <row r="15" spans="1:14" ht="18" customHeight="1" thickBot="1">
      <c r="A15" s="386" t="s">
        <v>322</v>
      </c>
      <c r="B15" s="22">
        <v>52</v>
      </c>
      <c r="C15" s="22">
        <v>24</v>
      </c>
      <c r="D15" s="22">
        <v>23</v>
      </c>
      <c r="E15" s="22">
        <v>5</v>
      </c>
      <c r="F15" s="22">
        <v>6</v>
      </c>
      <c r="G15" s="22">
        <v>7</v>
      </c>
      <c r="H15" s="22">
        <v>41</v>
      </c>
      <c r="I15" s="22">
        <v>32</v>
      </c>
      <c r="J15" s="21">
        <v>122</v>
      </c>
      <c r="K15" s="21">
        <v>68</v>
      </c>
      <c r="L15" s="21">
        <v>0</v>
      </c>
      <c r="M15" s="305">
        <f>Table_Default__XLS_TAB_30_281[[#This Row],[TOT_HSB_CNT]]+Table_Default__XLS_TAB_30_281[[#This Row],[TOT_WFE_CNT]]+Table_Default__XLS_TAB_30_281[[#This Row],[TOT_NOTSTAT_CNT]]</f>
        <v>190</v>
      </c>
      <c r="N15" s="387" t="s">
        <v>322</v>
      </c>
    </row>
    <row r="16" spans="1:14" ht="18" customHeight="1" thickBot="1">
      <c r="A16" s="386" t="s">
        <v>321</v>
      </c>
      <c r="B16" s="22">
        <v>33</v>
      </c>
      <c r="C16" s="22">
        <v>21</v>
      </c>
      <c r="D16" s="22">
        <v>7</v>
      </c>
      <c r="E16" s="22">
        <v>0</v>
      </c>
      <c r="F16" s="22">
        <v>2</v>
      </c>
      <c r="G16" s="22">
        <v>4</v>
      </c>
      <c r="H16" s="22">
        <v>18</v>
      </c>
      <c r="I16" s="22">
        <v>17</v>
      </c>
      <c r="J16" s="21">
        <v>60</v>
      </c>
      <c r="K16" s="21">
        <v>42</v>
      </c>
      <c r="L16" s="21">
        <v>0</v>
      </c>
      <c r="M16" s="305">
        <f>Table_Default__XLS_TAB_30_281[[#This Row],[TOT_HSB_CNT]]+Table_Default__XLS_TAB_30_281[[#This Row],[TOT_WFE_CNT]]+Table_Default__XLS_TAB_30_281[[#This Row],[TOT_NOTSTAT_CNT]]</f>
        <v>102</v>
      </c>
      <c r="N16" s="387" t="s">
        <v>321</v>
      </c>
    </row>
    <row r="17" spans="1:14" ht="18" customHeight="1" thickBot="1">
      <c r="A17" s="386" t="s">
        <v>134</v>
      </c>
      <c r="B17" s="22">
        <v>17</v>
      </c>
      <c r="C17" s="22">
        <v>15</v>
      </c>
      <c r="D17" s="22">
        <v>4</v>
      </c>
      <c r="E17" s="22">
        <v>2</v>
      </c>
      <c r="F17" s="22">
        <v>1</v>
      </c>
      <c r="G17" s="22">
        <v>1</v>
      </c>
      <c r="H17" s="22">
        <v>13</v>
      </c>
      <c r="I17" s="22">
        <v>14</v>
      </c>
      <c r="J17" s="21">
        <v>35</v>
      </c>
      <c r="K17" s="21">
        <v>32</v>
      </c>
      <c r="L17" s="21">
        <v>1</v>
      </c>
      <c r="M17" s="305">
        <f>Table_Default__XLS_TAB_30_281[[#This Row],[TOT_HSB_CNT]]+Table_Default__XLS_TAB_30_281[[#This Row],[TOT_WFE_CNT]]+Table_Default__XLS_TAB_30_281[[#This Row],[TOT_NOTSTAT_CNT]]</f>
        <v>68</v>
      </c>
      <c r="N17" s="387" t="s">
        <v>134</v>
      </c>
    </row>
    <row r="18" spans="1:14" ht="18" customHeight="1" thickBot="1">
      <c r="A18" s="386" t="s">
        <v>128</v>
      </c>
      <c r="B18" s="22">
        <v>10</v>
      </c>
      <c r="C18" s="22">
        <v>8</v>
      </c>
      <c r="D18" s="22">
        <v>0</v>
      </c>
      <c r="E18" s="22">
        <v>0</v>
      </c>
      <c r="F18" s="22">
        <v>0</v>
      </c>
      <c r="G18" s="22">
        <v>0</v>
      </c>
      <c r="H18" s="22">
        <v>2</v>
      </c>
      <c r="I18" s="22">
        <v>5</v>
      </c>
      <c r="J18" s="21">
        <v>12</v>
      </c>
      <c r="K18" s="21">
        <v>13</v>
      </c>
      <c r="L18" s="21">
        <v>0</v>
      </c>
      <c r="M18" s="305">
        <f>Table_Default__XLS_TAB_30_281[[#This Row],[TOT_HSB_CNT]]+Table_Default__XLS_TAB_30_281[[#This Row],[TOT_WFE_CNT]]+Table_Default__XLS_TAB_30_281[[#This Row],[TOT_NOTSTAT_CNT]]</f>
        <v>25</v>
      </c>
      <c r="N18" s="387" t="s">
        <v>128</v>
      </c>
    </row>
    <row r="19" spans="1:14" s="95" customFormat="1" ht="18" customHeight="1" thickBot="1">
      <c r="A19" s="386" t="s">
        <v>441</v>
      </c>
      <c r="B19" s="22">
        <v>16</v>
      </c>
      <c r="C19" s="22">
        <v>9</v>
      </c>
      <c r="D19" s="22">
        <v>0</v>
      </c>
      <c r="E19" s="22">
        <v>0</v>
      </c>
      <c r="F19" s="22">
        <v>0</v>
      </c>
      <c r="G19" s="22">
        <v>2</v>
      </c>
      <c r="H19" s="22">
        <v>9</v>
      </c>
      <c r="I19" s="22">
        <v>4</v>
      </c>
      <c r="J19" s="21">
        <v>25</v>
      </c>
      <c r="K19" s="21">
        <v>15</v>
      </c>
      <c r="L19" s="21">
        <v>1</v>
      </c>
      <c r="M19" s="305">
        <f>Table_Default__XLS_TAB_30_281[[#This Row],[TOT_HSB_CNT]]+Table_Default__XLS_TAB_30_281[[#This Row],[TOT_WFE_CNT]]+Table_Default__XLS_TAB_30_281[[#This Row],[TOT_NOTSTAT_CNT]]</f>
        <v>41</v>
      </c>
      <c r="N19" s="387" t="s">
        <v>441</v>
      </c>
    </row>
    <row r="20" spans="1:14" s="304" customFormat="1" ht="18" customHeight="1">
      <c r="A20" s="388" t="s">
        <v>15</v>
      </c>
      <c r="B20" s="457">
        <v>1</v>
      </c>
      <c r="C20" s="457">
        <v>1</v>
      </c>
      <c r="D20" s="457">
        <v>0</v>
      </c>
      <c r="E20" s="457">
        <v>0</v>
      </c>
      <c r="F20" s="457">
        <v>1</v>
      </c>
      <c r="G20" s="457">
        <v>0</v>
      </c>
      <c r="H20" s="457">
        <v>0</v>
      </c>
      <c r="I20" s="457">
        <v>0</v>
      </c>
      <c r="J20" s="409">
        <v>2</v>
      </c>
      <c r="K20" s="409">
        <v>1</v>
      </c>
      <c r="L20" s="409">
        <v>0</v>
      </c>
      <c r="M20" s="419">
        <f>Table_Default__XLS_TAB_30_281[[#This Row],[TOT_HSB_CNT]]+Table_Default__XLS_TAB_30_281[[#This Row],[TOT_WFE_CNT]]+Table_Default__XLS_TAB_30_281[[#This Row],[TOT_NOTSTAT_CNT]]</f>
        <v>3</v>
      </c>
      <c r="N20" s="389" t="s">
        <v>16</v>
      </c>
    </row>
    <row r="21" spans="1:14" ht="24.75" customHeight="1">
      <c r="A21" s="309" t="s">
        <v>192</v>
      </c>
      <c r="B21" s="310">
        <f>SUBTOTAL(109,Table_Default__XLS_TAB_30_281[[#All],[CAT_1_HSB_CNT]])</f>
        <v>558</v>
      </c>
      <c r="C21" s="310">
        <f>SUBTOTAL(109,Table_Default__XLS_TAB_30_281[[#All],[CAT_1_WFE_CNT]])</f>
        <v>362</v>
      </c>
      <c r="D21" s="310">
        <f>SUBTOTAL(109,Table_Default__XLS_TAB_30_281[[#All],[CAT_2_HSB_CNT]])</f>
        <v>141</v>
      </c>
      <c r="E21" s="310">
        <f>SUBTOTAL(109,Table_Default__XLS_TAB_30_281[[#All],[CAT_2_WFE_CNT]])</f>
        <v>51</v>
      </c>
      <c r="F21" s="310">
        <f>SUBTOTAL(109,Table_Default__XLS_TAB_30_281[[#All],[CAT_3_HSB_CNT]])</f>
        <v>23</v>
      </c>
      <c r="G21" s="310">
        <f>SUBTOTAL(109,Table_Default__XLS_TAB_30_281[[#All],[CAT_3_WFE_CNT]])</f>
        <v>46</v>
      </c>
      <c r="H21" s="310">
        <f>SUBTOTAL(109,Table_Default__XLS_TAB_30_281[[#All],[CAT_4_HSB_CNT]])</f>
        <v>296</v>
      </c>
      <c r="I21" s="310">
        <f>SUBTOTAL(109,Table_Default__XLS_TAB_30_281[[#All],[CAT_4_WFE_CNT]])</f>
        <v>348</v>
      </c>
      <c r="J21" s="310">
        <f>SUBTOTAL(109,Table_Default__XLS_TAB_30_281[[#All],[TOT_HSB_CNT]])</f>
        <v>1018</v>
      </c>
      <c r="K21" s="310">
        <f>SUBTOTAL(109,Table_Default__XLS_TAB_30_281[[#All],[TOT_WFE_CNT]])</f>
        <v>807</v>
      </c>
      <c r="L21" s="310">
        <f>SUBTOTAL(109,Table_Default__XLS_TAB_30_281[[#All],[TOT_NOTSTAT_CNT]])</f>
        <v>8</v>
      </c>
      <c r="M21" s="822">
        <f>SUBTOTAL(109,Table_Default__XLS_TAB_30_281[[#All],[G_TOTAL]])</f>
        <v>1833</v>
      </c>
      <c r="N21" s="311" t="s">
        <v>18</v>
      </c>
    </row>
    <row r="24" spans="1:14">
      <c r="J24" s="424"/>
    </row>
  </sheetData>
  <mergeCells count="13">
    <mergeCell ref="A4:N4"/>
    <mergeCell ref="A1:N1"/>
    <mergeCell ref="A2:N2"/>
    <mergeCell ref="A3:N3"/>
    <mergeCell ref="A6:A8"/>
    <mergeCell ref="B6:I6"/>
    <mergeCell ref="J6:L7"/>
    <mergeCell ref="N6:N8"/>
    <mergeCell ref="B7:C7"/>
    <mergeCell ref="D7:E7"/>
    <mergeCell ref="F7:G7"/>
    <mergeCell ref="H7:I7"/>
    <mergeCell ref="M6:M8"/>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I23"/>
  <sheetViews>
    <sheetView rightToLeft="1" view="pageBreakPreview" topLeftCell="A4" zoomScaleNormal="100" zoomScaleSheetLayoutView="100" workbookViewId="0">
      <selection activeCell="G16" sqref="G16"/>
    </sheetView>
  </sheetViews>
  <sheetFormatPr defaultColWidth="9.140625" defaultRowHeight="12.75"/>
  <cols>
    <col min="1" max="1" width="18" style="1" customWidth="1"/>
    <col min="2" max="5" width="14.42578125" style="1" customWidth="1"/>
    <col min="6" max="6" width="13" style="1" customWidth="1"/>
    <col min="7" max="7" width="14.42578125" style="1" customWidth="1"/>
    <col min="8" max="8" width="13.42578125" style="1" customWidth="1"/>
    <col min="9" max="9" width="20.42578125" style="1" customWidth="1"/>
    <col min="10" max="16384" width="9.140625" style="1"/>
  </cols>
  <sheetData>
    <row r="1" spans="1:9" ht="24" customHeight="1">
      <c r="A1" s="1097" t="s">
        <v>338</v>
      </c>
      <c r="B1" s="1097"/>
      <c r="C1" s="1097"/>
      <c r="D1" s="1097"/>
      <c r="E1" s="1097"/>
      <c r="F1" s="1097"/>
      <c r="G1" s="1097"/>
      <c r="H1" s="1097"/>
      <c r="I1" s="1097"/>
    </row>
    <row r="2" spans="1:9" ht="15.75" customHeight="1">
      <c r="A2" s="1050" t="s">
        <v>337</v>
      </c>
      <c r="B2" s="1050"/>
      <c r="C2" s="1050"/>
      <c r="D2" s="1050"/>
      <c r="E2" s="1050"/>
      <c r="F2" s="1050"/>
      <c r="G2" s="1050"/>
      <c r="H2" s="1050"/>
      <c r="I2" s="1050"/>
    </row>
    <row r="3" spans="1:9" ht="15.75" customHeight="1">
      <c r="A3" s="1050">
        <v>2019</v>
      </c>
      <c r="B3" s="1050"/>
      <c r="C3" s="1050"/>
      <c r="D3" s="1050"/>
      <c r="E3" s="1050"/>
      <c r="F3" s="1050"/>
      <c r="G3" s="1050"/>
      <c r="H3" s="1050"/>
      <c r="I3" s="1050"/>
    </row>
    <row r="4" spans="1:9" ht="18.75" customHeight="1">
      <c r="A4" s="1050" t="s">
        <v>172</v>
      </c>
      <c r="B4" s="1050"/>
      <c r="C4" s="1050"/>
      <c r="D4" s="1050"/>
      <c r="E4" s="1050"/>
      <c r="F4" s="1050"/>
      <c r="G4" s="1050"/>
      <c r="H4" s="1050"/>
      <c r="I4" s="1050"/>
    </row>
    <row r="5" spans="1:9" ht="18.75" customHeight="1">
      <c r="A5" s="372"/>
      <c r="B5" s="372"/>
      <c r="C5" s="372"/>
      <c r="D5" s="372"/>
      <c r="E5" s="372"/>
      <c r="F5" s="393"/>
      <c r="G5" s="372"/>
      <c r="H5" s="372"/>
      <c r="I5" s="372"/>
    </row>
    <row r="6" spans="1:9" s="31" customFormat="1" ht="16.5">
      <c r="A6" s="362" t="s">
        <v>510</v>
      </c>
      <c r="B6" s="363"/>
      <c r="C6" s="364"/>
      <c r="D6" s="364"/>
      <c r="E6" s="364"/>
      <c r="F6" s="364"/>
      <c r="G6" s="369"/>
      <c r="H6" s="369"/>
      <c r="I6" s="369" t="s">
        <v>511</v>
      </c>
    </row>
    <row r="7" spans="1:9" ht="27.75" customHeight="1" thickBot="1">
      <c r="A7" s="1150" t="s">
        <v>326</v>
      </c>
      <c r="B7" s="1143" t="s">
        <v>305</v>
      </c>
      <c r="C7" s="1143"/>
      <c r="D7" s="1143"/>
      <c r="E7" s="1143"/>
      <c r="F7" s="1143"/>
      <c r="G7" s="1143"/>
      <c r="H7" s="1093" t="s">
        <v>637</v>
      </c>
      <c r="I7" s="1095" t="s">
        <v>325</v>
      </c>
    </row>
    <row r="8" spans="1:9" ht="57" customHeight="1">
      <c r="A8" s="1153"/>
      <c r="B8" s="352" t="s">
        <v>652</v>
      </c>
      <c r="C8" s="352" t="s">
        <v>640</v>
      </c>
      <c r="D8" s="352" t="s">
        <v>641</v>
      </c>
      <c r="E8" s="352" t="s">
        <v>653</v>
      </c>
      <c r="F8" s="392" t="s">
        <v>611</v>
      </c>
      <c r="G8" s="318" t="s">
        <v>108</v>
      </c>
      <c r="H8" s="1094"/>
      <c r="I8" s="1096"/>
    </row>
    <row r="9" spans="1:9" ht="16.5" customHeight="1" thickBot="1">
      <c r="A9" s="242" t="s">
        <v>324</v>
      </c>
      <c r="B9" s="227">
        <v>120</v>
      </c>
      <c r="C9" s="35">
        <v>24</v>
      </c>
      <c r="D9" s="35">
        <v>39</v>
      </c>
      <c r="E9" s="35">
        <v>0</v>
      </c>
      <c r="F9" s="228">
        <v>0</v>
      </c>
      <c r="G9" s="111">
        <f>SUM(Table_Default__XLS_TAB_28_195[[#This Row],[BAAN_SMALLERQATAR]:[Column1]])</f>
        <v>183</v>
      </c>
      <c r="H9" s="901">
        <f>G9/$G$21%</f>
        <v>18.447580645161292</v>
      </c>
      <c r="I9" s="29" t="s">
        <v>323</v>
      </c>
    </row>
    <row r="10" spans="1:9" ht="16.5" customHeight="1" thickBot="1">
      <c r="A10" s="243">
        <v>-1</v>
      </c>
      <c r="B10" s="227">
        <v>232</v>
      </c>
      <c r="C10" s="35">
        <v>157</v>
      </c>
      <c r="D10" s="35">
        <v>29</v>
      </c>
      <c r="E10" s="35">
        <v>7</v>
      </c>
      <c r="F10" s="228">
        <v>0</v>
      </c>
      <c r="G10" s="111">
        <f>SUM(Table_Default__XLS_TAB_28_195[[#This Row],[BAAN_SMALLERQATAR]:[Column1]])</f>
        <v>425</v>
      </c>
      <c r="H10" s="245">
        <f t="shared" ref="H10:H20" si="0">G10/$G$21%</f>
        <v>42.842741935483872</v>
      </c>
      <c r="I10" s="17">
        <v>-1</v>
      </c>
    </row>
    <row r="11" spans="1:9" ht="16.5" customHeight="1" thickBot="1">
      <c r="A11" s="244">
        <v>1</v>
      </c>
      <c r="B11" s="227">
        <v>9</v>
      </c>
      <c r="C11" s="35">
        <v>46</v>
      </c>
      <c r="D11" s="35">
        <v>1</v>
      </c>
      <c r="E11" s="35">
        <v>0</v>
      </c>
      <c r="F11" s="228">
        <v>0</v>
      </c>
      <c r="G11" s="111">
        <f>SUM(Table_Default__XLS_TAB_28_195[[#This Row],[BAAN_SMALLERQATAR]:[Column1]])</f>
        <v>56</v>
      </c>
      <c r="H11" s="246">
        <f t="shared" si="0"/>
        <v>5.645161290322581</v>
      </c>
      <c r="I11" s="15">
        <v>1</v>
      </c>
    </row>
    <row r="12" spans="1:9" ht="16.5" customHeight="1" thickBot="1">
      <c r="A12" s="243">
        <v>2</v>
      </c>
      <c r="B12" s="227">
        <v>5</v>
      </c>
      <c r="C12" s="35">
        <v>31</v>
      </c>
      <c r="D12" s="35">
        <v>1</v>
      </c>
      <c r="E12" s="35">
        <v>0</v>
      </c>
      <c r="F12" s="228">
        <v>0</v>
      </c>
      <c r="G12" s="111">
        <f>SUM(Table_Default__XLS_TAB_28_195[[#This Row],[BAAN_SMALLERQATAR]:[Column1]])</f>
        <v>37</v>
      </c>
      <c r="H12" s="245">
        <f t="shared" si="0"/>
        <v>3.7298387096774195</v>
      </c>
      <c r="I12" s="17">
        <v>2</v>
      </c>
    </row>
    <row r="13" spans="1:9" ht="16.5" customHeight="1" thickBot="1">
      <c r="A13" s="244">
        <v>3</v>
      </c>
      <c r="B13" s="227">
        <v>8</v>
      </c>
      <c r="C13" s="35">
        <v>24</v>
      </c>
      <c r="D13" s="35">
        <v>2</v>
      </c>
      <c r="E13" s="35">
        <v>2</v>
      </c>
      <c r="F13" s="228">
        <v>0</v>
      </c>
      <c r="G13" s="111">
        <f>SUM(Table_Default__XLS_TAB_28_195[[#This Row],[BAAN_SMALLERQATAR]:[Column1]])</f>
        <v>36</v>
      </c>
      <c r="H13" s="246">
        <f>G13/$G$21%</f>
        <v>3.629032258064516</v>
      </c>
      <c r="I13" s="15">
        <v>3</v>
      </c>
    </row>
    <row r="14" spans="1:9" ht="16.5" customHeight="1" thickBot="1">
      <c r="A14" s="243">
        <v>4</v>
      </c>
      <c r="B14" s="227">
        <v>7</v>
      </c>
      <c r="C14" s="35">
        <v>16</v>
      </c>
      <c r="D14" s="35">
        <v>1</v>
      </c>
      <c r="E14" s="35">
        <v>0</v>
      </c>
      <c r="F14" s="228">
        <v>0</v>
      </c>
      <c r="G14" s="111">
        <f>SUM(Table_Default__XLS_TAB_28_195[[#This Row],[BAAN_SMALLERQATAR]:[Column1]])</f>
        <v>24</v>
      </c>
      <c r="H14" s="245">
        <f t="shared" si="0"/>
        <v>2.4193548387096775</v>
      </c>
      <c r="I14" s="17">
        <v>4</v>
      </c>
    </row>
    <row r="15" spans="1:9" ht="16.5" customHeight="1" thickBot="1">
      <c r="A15" s="244" t="s">
        <v>1277</v>
      </c>
      <c r="B15" s="227">
        <v>22</v>
      </c>
      <c r="C15" s="35">
        <v>59</v>
      </c>
      <c r="D15" s="35">
        <v>7</v>
      </c>
      <c r="E15" s="35">
        <v>1</v>
      </c>
      <c r="F15" s="228">
        <v>0</v>
      </c>
      <c r="G15" s="111">
        <f>SUM(Table_Default__XLS_TAB_28_195[[#This Row],[BAAN_SMALLERQATAR]:[Column1]])</f>
        <v>89</v>
      </c>
      <c r="H15" s="246">
        <f t="shared" si="0"/>
        <v>8.9717741935483879</v>
      </c>
      <c r="I15" s="15" t="s">
        <v>322</v>
      </c>
    </row>
    <row r="16" spans="1:9" ht="16.5" customHeight="1" thickBot="1">
      <c r="A16" s="243" t="s">
        <v>1278</v>
      </c>
      <c r="B16" s="227">
        <v>22</v>
      </c>
      <c r="C16" s="35">
        <v>31</v>
      </c>
      <c r="D16" s="35">
        <v>4</v>
      </c>
      <c r="E16" s="35">
        <v>3</v>
      </c>
      <c r="F16" s="228">
        <v>0</v>
      </c>
      <c r="G16" s="111">
        <f>SUM(Table_Default__XLS_TAB_28_195[[#This Row],[BAAN_SMALLERQATAR]:[Column1]])</f>
        <v>60</v>
      </c>
      <c r="H16" s="245">
        <f t="shared" si="0"/>
        <v>6.0483870967741939</v>
      </c>
      <c r="I16" s="17" t="s">
        <v>321</v>
      </c>
    </row>
    <row r="17" spans="1:9" ht="16.5" customHeight="1" thickBot="1">
      <c r="A17" s="244" t="s">
        <v>1279</v>
      </c>
      <c r="B17" s="227">
        <v>9</v>
      </c>
      <c r="C17" s="35">
        <v>18</v>
      </c>
      <c r="D17" s="35">
        <v>5</v>
      </c>
      <c r="E17" s="35">
        <v>2</v>
      </c>
      <c r="F17" s="228">
        <v>0</v>
      </c>
      <c r="G17" s="111">
        <f>SUM(Table_Default__XLS_TAB_28_195[[#This Row],[BAAN_SMALLERQATAR]:[Column1]])</f>
        <v>34</v>
      </c>
      <c r="H17" s="246">
        <f t="shared" si="0"/>
        <v>3.4274193548387095</v>
      </c>
      <c r="I17" s="15" t="s">
        <v>134</v>
      </c>
    </row>
    <row r="18" spans="1:9" ht="16.5" customHeight="1" thickBot="1">
      <c r="A18" s="243" t="s">
        <v>1262</v>
      </c>
      <c r="B18" s="227">
        <v>6</v>
      </c>
      <c r="C18" s="35">
        <v>10</v>
      </c>
      <c r="D18" s="35">
        <v>2</v>
      </c>
      <c r="E18" s="35">
        <v>0</v>
      </c>
      <c r="F18" s="228">
        <v>0</v>
      </c>
      <c r="G18" s="111">
        <f>SUM(Table_Default__XLS_TAB_28_195[[#This Row],[BAAN_SMALLERQATAR]:[Column1]])</f>
        <v>18</v>
      </c>
      <c r="H18" s="245">
        <f>G18/$G$21%</f>
        <v>1.814516129032258</v>
      </c>
      <c r="I18" s="17" t="s">
        <v>128</v>
      </c>
    </row>
    <row r="19" spans="1:9" ht="16.5" customHeight="1" thickBot="1">
      <c r="A19" s="244" t="s">
        <v>441</v>
      </c>
      <c r="B19" s="227">
        <v>12</v>
      </c>
      <c r="C19" s="35">
        <v>14</v>
      </c>
      <c r="D19" s="35">
        <v>0</v>
      </c>
      <c r="E19" s="35">
        <v>1</v>
      </c>
      <c r="F19" s="228">
        <v>0</v>
      </c>
      <c r="G19" s="111">
        <f>SUM(Table_Default__XLS_TAB_28_195[[#This Row],[BAAN_SMALLERQATAR]:[Column1]])</f>
        <v>27</v>
      </c>
      <c r="H19" s="246">
        <f t="shared" si="0"/>
        <v>2.721774193548387</v>
      </c>
      <c r="I19" s="15" t="s">
        <v>441</v>
      </c>
    </row>
    <row r="20" spans="1:9" ht="16.5" customHeight="1" thickBot="1">
      <c r="A20" s="247" t="s">
        <v>15</v>
      </c>
      <c r="B20" s="229">
        <v>1</v>
      </c>
      <c r="C20" s="230">
        <v>2</v>
      </c>
      <c r="D20" s="230">
        <v>0</v>
      </c>
      <c r="E20" s="230">
        <v>0</v>
      </c>
      <c r="F20" s="231">
        <v>0</v>
      </c>
      <c r="G20" s="111">
        <f>SUM(Table_Default__XLS_TAB_28_195[[#This Row],[BAAN_SMALLERQATAR]:[Column1]])</f>
        <v>3</v>
      </c>
      <c r="H20" s="248">
        <f t="shared" si="0"/>
        <v>0.30241935483870969</v>
      </c>
      <c r="I20" s="75" t="s">
        <v>16</v>
      </c>
    </row>
    <row r="21" spans="1:9" ht="22.5" customHeight="1" thickBot="1">
      <c r="A21" s="30" t="s">
        <v>17</v>
      </c>
      <c r="B21" s="251">
        <f>SUM(B9:B20)</f>
        <v>453</v>
      </c>
      <c r="C21" s="251">
        <f>SUM(C9:C20)</f>
        <v>432</v>
      </c>
      <c r="D21" s="251">
        <f t="shared" ref="D21:E21" si="1">SUM(D9:D20)</f>
        <v>91</v>
      </c>
      <c r="E21" s="251">
        <f t="shared" si="1"/>
        <v>16</v>
      </c>
      <c r="F21" s="251">
        <v>0</v>
      </c>
      <c r="G21" s="251">
        <f>SUM(G9:G20)</f>
        <v>992</v>
      </c>
      <c r="H21" s="250">
        <f>SUM(H9:H20)</f>
        <v>99.999999999999986</v>
      </c>
      <c r="I21" s="29" t="s">
        <v>56</v>
      </c>
    </row>
    <row r="22" spans="1:9" ht="22.5" customHeight="1">
      <c r="A22" s="14" t="s">
        <v>319</v>
      </c>
      <c r="B22" s="493">
        <f>B21/$G$21%</f>
        <v>45.66532258064516</v>
      </c>
      <c r="C22" s="493">
        <f t="shared" ref="C22:G22" si="2">C21/$G$21%</f>
        <v>43.548387096774192</v>
      </c>
      <c r="D22" s="493">
        <f t="shared" si="2"/>
        <v>9.1733870967741939</v>
      </c>
      <c r="E22" s="493">
        <f t="shared" si="2"/>
        <v>1.6129032258064517</v>
      </c>
      <c r="F22" s="493">
        <f t="shared" si="2"/>
        <v>0</v>
      </c>
      <c r="G22" s="493">
        <f t="shared" si="2"/>
        <v>100</v>
      </c>
      <c r="H22" s="1090" t="s">
        <v>318</v>
      </c>
      <c r="I22" s="1091"/>
    </row>
    <row r="23" spans="1:9">
      <c r="F23" s="102">
        <f>SUM(F9:F21)</f>
        <v>0</v>
      </c>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I22"/>
  <sheetViews>
    <sheetView rightToLeft="1" view="pageBreakPreview" topLeftCell="A4" zoomScaleNormal="100" zoomScaleSheetLayoutView="100" workbookViewId="0">
      <selection activeCell="E8" sqref="E8"/>
    </sheetView>
  </sheetViews>
  <sheetFormatPr defaultColWidth="9.140625" defaultRowHeight="12.75"/>
  <cols>
    <col min="1" max="1" width="18" style="1" customWidth="1"/>
    <col min="2" max="5" width="14.42578125" style="1" customWidth="1"/>
    <col min="6" max="6" width="13" style="1" customWidth="1"/>
    <col min="7" max="7" width="14.42578125" style="1" customWidth="1"/>
    <col min="8" max="8" width="13.42578125" style="1" customWidth="1"/>
    <col min="9" max="9" width="20.42578125" style="1" customWidth="1"/>
    <col min="10" max="16384" width="9.140625" style="1"/>
  </cols>
  <sheetData>
    <row r="1" spans="1:9" ht="24" customHeight="1">
      <c r="A1" s="1097" t="s">
        <v>338</v>
      </c>
      <c r="B1" s="1097"/>
      <c r="C1" s="1097"/>
      <c r="D1" s="1097"/>
      <c r="E1" s="1097"/>
      <c r="F1" s="1097"/>
      <c r="G1" s="1097"/>
      <c r="H1" s="1097"/>
      <c r="I1" s="1097"/>
    </row>
    <row r="2" spans="1:9" ht="15.75" customHeight="1">
      <c r="A2" s="1050" t="s">
        <v>337</v>
      </c>
      <c r="B2" s="1050"/>
      <c r="C2" s="1050"/>
      <c r="D2" s="1050"/>
      <c r="E2" s="1050"/>
      <c r="F2" s="1050"/>
      <c r="G2" s="1050"/>
      <c r="H2" s="1050"/>
      <c r="I2" s="1050"/>
    </row>
    <row r="3" spans="1:9" ht="15.75" customHeight="1">
      <c r="A3" s="1050">
        <v>2019</v>
      </c>
      <c r="B3" s="1050"/>
      <c r="C3" s="1050"/>
      <c r="D3" s="1050"/>
      <c r="E3" s="1050"/>
      <c r="F3" s="1050"/>
      <c r="G3" s="1050"/>
      <c r="H3" s="1050"/>
      <c r="I3" s="1050"/>
    </row>
    <row r="4" spans="1:9" ht="18.75" customHeight="1">
      <c r="A4" s="1050" t="s">
        <v>177</v>
      </c>
      <c r="B4" s="1050"/>
      <c r="C4" s="1050"/>
      <c r="D4" s="1050"/>
      <c r="E4" s="1050"/>
      <c r="F4" s="1050"/>
      <c r="G4" s="1050"/>
      <c r="H4" s="1050"/>
      <c r="I4" s="1050"/>
    </row>
    <row r="5" spans="1:9" ht="18.75" customHeight="1">
      <c r="A5" s="372"/>
      <c r="B5" s="372"/>
      <c r="C5" s="372"/>
      <c r="D5" s="372"/>
      <c r="E5" s="372"/>
      <c r="F5" s="393"/>
      <c r="G5" s="372"/>
      <c r="H5" s="372"/>
      <c r="I5" s="372"/>
    </row>
    <row r="6" spans="1:9" s="31" customFormat="1" ht="16.5">
      <c r="A6" s="362" t="s">
        <v>514</v>
      </c>
      <c r="B6" s="363"/>
      <c r="C6" s="364"/>
      <c r="D6" s="364"/>
      <c r="E6" s="364"/>
      <c r="F6" s="364"/>
      <c r="G6" s="369"/>
      <c r="H6" s="369"/>
      <c r="I6" s="369" t="s">
        <v>515</v>
      </c>
    </row>
    <row r="7" spans="1:9" ht="27.75" customHeight="1" thickBot="1">
      <c r="A7" s="1150" t="s">
        <v>326</v>
      </c>
      <c r="B7" s="1143" t="s">
        <v>305</v>
      </c>
      <c r="C7" s="1143"/>
      <c r="D7" s="1143"/>
      <c r="E7" s="1143"/>
      <c r="F7" s="1143"/>
      <c r="G7" s="1143"/>
      <c r="H7" s="1093" t="s">
        <v>637</v>
      </c>
      <c r="I7" s="1095" t="s">
        <v>325</v>
      </c>
    </row>
    <row r="8" spans="1:9" ht="57" customHeight="1">
      <c r="A8" s="1153"/>
      <c r="B8" s="508" t="s">
        <v>652</v>
      </c>
      <c r="C8" s="508" t="s">
        <v>640</v>
      </c>
      <c r="D8" s="508" t="s">
        <v>641</v>
      </c>
      <c r="E8" s="508" t="s">
        <v>653</v>
      </c>
      <c r="F8" s="508" t="s">
        <v>611</v>
      </c>
      <c r="G8" s="508" t="s">
        <v>108</v>
      </c>
      <c r="H8" s="1094"/>
      <c r="I8" s="1096"/>
    </row>
    <row r="9" spans="1:9" ht="16.5" customHeight="1" thickBot="1">
      <c r="A9" s="242" t="s">
        <v>324</v>
      </c>
      <c r="B9" s="227">
        <v>44</v>
      </c>
      <c r="C9" s="35">
        <v>18</v>
      </c>
      <c r="D9" s="35">
        <v>28</v>
      </c>
      <c r="E9" s="35">
        <v>0</v>
      </c>
      <c r="F9" s="228">
        <v>0</v>
      </c>
      <c r="G9" s="111">
        <f>SUM(Table_Default__XLS_TAB_28_18696[[#This Row],[BAAN_SMALLERQATAR]:[Column1]])</f>
        <v>90</v>
      </c>
      <c r="H9" s="901">
        <f t="shared" ref="H9:H20" si="0">G9/$G$21%</f>
        <v>10.701545778834721</v>
      </c>
      <c r="I9" s="29" t="s">
        <v>323</v>
      </c>
    </row>
    <row r="10" spans="1:9" ht="16.5" customHeight="1" thickBot="1">
      <c r="A10" s="243">
        <v>-1</v>
      </c>
      <c r="B10" s="227">
        <v>193</v>
      </c>
      <c r="C10" s="35">
        <v>142</v>
      </c>
      <c r="D10" s="35">
        <v>35</v>
      </c>
      <c r="E10" s="35">
        <v>17</v>
      </c>
      <c r="F10" s="228">
        <v>0</v>
      </c>
      <c r="G10" s="111">
        <f>SUM(Table_Default__XLS_TAB_28_18696[[#This Row],[BAAN_SMALLERQATAR]:[Column1]])</f>
        <v>387</v>
      </c>
      <c r="H10" s="245">
        <f t="shared" si="0"/>
        <v>46.016646848989296</v>
      </c>
      <c r="I10" s="17">
        <v>-1</v>
      </c>
    </row>
    <row r="11" spans="1:9" ht="16.5" customHeight="1" thickBot="1">
      <c r="A11" s="244">
        <v>1</v>
      </c>
      <c r="B11" s="227">
        <v>8</v>
      </c>
      <c r="C11" s="35">
        <v>35</v>
      </c>
      <c r="D11" s="35">
        <v>5</v>
      </c>
      <c r="E11" s="35">
        <v>1</v>
      </c>
      <c r="F11" s="228">
        <v>0</v>
      </c>
      <c r="G11" s="111">
        <f>SUM(Table_Default__XLS_TAB_28_18696[[#This Row],[BAAN_SMALLERQATAR]:[Column1]])</f>
        <v>49</v>
      </c>
      <c r="H11" s="246">
        <f t="shared" si="0"/>
        <v>5.8263971462544593</v>
      </c>
      <c r="I11" s="15">
        <v>1</v>
      </c>
    </row>
    <row r="12" spans="1:9" ht="16.5" customHeight="1" thickBot="1">
      <c r="A12" s="243">
        <v>2</v>
      </c>
      <c r="B12" s="227">
        <v>6</v>
      </c>
      <c r="C12" s="35">
        <v>36</v>
      </c>
      <c r="D12" s="35">
        <v>7</v>
      </c>
      <c r="E12" s="35">
        <v>2</v>
      </c>
      <c r="F12" s="228">
        <v>0</v>
      </c>
      <c r="G12" s="111">
        <f>SUM(Table_Default__XLS_TAB_28_18696[[#This Row],[BAAN_SMALLERQATAR]:[Column1]])</f>
        <v>51</v>
      </c>
      <c r="H12" s="245">
        <f t="shared" si="0"/>
        <v>6.0642092746730079</v>
      </c>
      <c r="I12" s="17">
        <v>2</v>
      </c>
    </row>
    <row r="13" spans="1:9" ht="16.5" customHeight="1" thickBot="1">
      <c r="A13" s="244">
        <v>3</v>
      </c>
      <c r="B13" s="227">
        <v>9</v>
      </c>
      <c r="C13" s="35">
        <v>24</v>
      </c>
      <c r="D13" s="35">
        <v>1</v>
      </c>
      <c r="E13" s="35">
        <v>0</v>
      </c>
      <c r="F13" s="228">
        <v>0</v>
      </c>
      <c r="G13" s="111">
        <f>SUM(Table_Default__XLS_TAB_28_18696[[#This Row],[BAAN_SMALLERQATAR]:[Column1]])</f>
        <v>34</v>
      </c>
      <c r="H13" s="246">
        <f t="shared" si="0"/>
        <v>4.0428061831153386</v>
      </c>
      <c r="I13" s="15">
        <v>3</v>
      </c>
    </row>
    <row r="14" spans="1:9" ht="16.5" customHeight="1" thickBot="1">
      <c r="A14" s="243">
        <v>4</v>
      </c>
      <c r="B14" s="227">
        <v>6</v>
      </c>
      <c r="C14" s="35">
        <v>23</v>
      </c>
      <c r="D14" s="35">
        <v>3</v>
      </c>
      <c r="E14" s="35">
        <v>0</v>
      </c>
      <c r="F14" s="228">
        <v>0</v>
      </c>
      <c r="G14" s="111">
        <f>SUM(Table_Default__XLS_TAB_28_18696[[#This Row],[BAAN_SMALLERQATAR]:[Column1]])</f>
        <v>32</v>
      </c>
      <c r="H14" s="245">
        <f t="shared" si="0"/>
        <v>3.8049940546967895</v>
      </c>
      <c r="I14" s="17">
        <v>4</v>
      </c>
    </row>
    <row r="15" spans="1:9" ht="16.5" customHeight="1" thickBot="1">
      <c r="A15" s="244" t="s">
        <v>1277</v>
      </c>
      <c r="B15" s="227">
        <v>26</v>
      </c>
      <c r="C15" s="35">
        <v>59</v>
      </c>
      <c r="D15" s="35">
        <v>11</v>
      </c>
      <c r="E15" s="35">
        <v>5</v>
      </c>
      <c r="F15" s="228">
        <v>0</v>
      </c>
      <c r="G15" s="111">
        <f>SUM(Table_Default__XLS_TAB_28_18696[[#This Row],[BAAN_SMALLERQATAR]:[Column1]])</f>
        <v>101</v>
      </c>
      <c r="H15" s="246">
        <f t="shared" si="0"/>
        <v>12.009512485136742</v>
      </c>
      <c r="I15" s="15" t="s">
        <v>322</v>
      </c>
    </row>
    <row r="16" spans="1:9" ht="16.5" customHeight="1" thickBot="1">
      <c r="A16" s="243" t="s">
        <v>1278</v>
      </c>
      <c r="B16" s="227">
        <v>9</v>
      </c>
      <c r="C16" s="35">
        <v>28</v>
      </c>
      <c r="D16" s="35">
        <v>4</v>
      </c>
      <c r="E16" s="35">
        <v>1</v>
      </c>
      <c r="F16" s="228">
        <v>0</v>
      </c>
      <c r="G16" s="111">
        <f>SUM(Table_Default__XLS_TAB_28_18696[[#This Row],[BAAN_SMALLERQATAR]:[Column1]])</f>
        <v>42</v>
      </c>
      <c r="H16" s="245">
        <f t="shared" si="0"/>
        <v>4.9940546967895365</v>
      </c>
      <c r="I16" s="17" t="s">
        <v>321</v>
      </c>
    </row>
    <row r="17" spans="1:9" ht="16.5" customHeight="1" thickBot="1">
      <c r="A17" s="244" t="s">
        <v>1279</v>
      </c>
      <c r="B17" s="227">
        <v>16</v>
      </c>
      <c r="C17" s="35">
        <v>15</v>
      </c>
      <c r="D17" s="35">
        <v>2</v>
      </c>
      <c r="E17" s="35">
        <v>1</v>
      </c>
      <c r="F17" s="228">
        <v>0</v>
      </c>
      <c r="G17" s="111">
        <f>SUM(Table_Default__XLS_TAB_28_18696[[#This Row],[BAAN_SMALLERQATAR]:[Column1]])</f>
        <v>34</v>
      </c>
      <c r="H17" s="246">
        <f t="shared" si="0"/>
        <v>4.0428061831153386</v>
      </c>
      <c r="I17" s="15" t="s">
        <v>134</v>
      </c>
    </row>
    <row r="18" spans="1:9" ht="16.5" customHeight="1" thickBot="1">
      <c r="A18" s="243" t="s">
        <v>1262</v>
      </c>
      <c r="B18" s="227">
        <v>1</v>
      </c>
      <c r="C18" s="35">
        <v>1</v>
      </c>
      <c r="D18" s="35">
        <v>3</v>
      </c>
      <c r="E18" s="35">
        <v>2</v>
      </c>
      <c r="F18" s="228">
        <v>0</v>
      </c>
      <c r="G18" s="111">
        <f>SUM(Table_Default__XLS_TAB_28_18696[[#This Row],[BAAN_SMALLERQATAR]:[Column1]])</f>
        <v>7</v>
      </c>
      <c r="H18" s="245">
        <f t="shared" si="0"/>
        <v>0.83234244946492275</v>
      </c>
      <c r="I18" s="17" t="s">
        <v>128</v>
      </c>
    </row>
    <row r="19" spans="1:9" ht="16.5" customHeight="1" thickBot="1">
      <c r="A19" s="244" t="s">
        <v>441</v>
      </c>
      <c r="B19" s="227">
        <v>3</v>
      </c>
      <c r="C19" s="35">
        <v>9</v>
      </c>
      <c r="D19" s="35">
        <v>1</v>
      </c>
      <c r="E19" s="35">
        <v>1</v>
      </c>
      <c r="F19" s="228">
        <v>0</v>
      </c>
      <c r="G19" s="111">
        <f>SUM(Table_Default__XLS_TAB_28_18696[[#This Row],[BAAN_SMALLERQATAR]:[Column1]])</f>
        <v>14</v>
      </c>
      <c r="H19" s="246">
        <f t="shared" si="0"/>
        <v>1.6646848989298455</v>
      </c>
      <c r="I19" s="15" t="s">
        <v>441</v>
      </c>
    </row>
    <row r="20" spans="1:9" ht="16.5" customHeight="1" thickBot="1">
      <c r="A20" s="247" t="s">
        <v>15</v>
      </c>
      <c r="B20" s="229">
        <v>0</v>
      </c>
      <c r="C20" s="230">
        <v>0</v>
      </c>
      <c r="D20" s="230">
        <v>0</v>
      </c>
      <c r="E20" s="230">
        <v>0</v>
      </c>
      <c r="F20" s="231">
        <v>0</v>
      </c>
      <c r="G20" s="111">
        <f>SUM(Table_Default__XLS_TAB_28_18696[[#This Row],[BAAN_SMALLERQATAR]:[Column1]])</f>
        <v>0</v>
      </c>
      <c r="H20" s="248">
        <f t="shared" si="0"/>
        <v>0</v>
      </c>
      <c r="I20" s="75" t="s">
        <v>16</v>
      </c>
    </row>
    <row r="21" spans="1:9" ht="22.5" customHeight="1" thickBot="1">
      <c r="A21" s="30" t="s">
        <v>17</v>
      </c>
      <c r="B21" s="251">
        <f>SUM(B9:B20)</f>
        <v>321</v>
      </c>
      <c r="C21" s="251">
        <f t="shared" ref="C21:G21" si="1">SUM(C9:C20)</f>
        <v>390</v>
      </c>
      <c r="D21" s="251">
        <f t="shared" si="1"/>
        <v>100</v>
      </c>
      <c r="E21" s="251">
        <f t="shared" si="1"/>
        <v>30</v>
      </c>
      <c r="F21" s="251">
        <f t="shared" si="1"/>
        <v>0</v>
      </c>
      <c r="G21" s="251">
        <f t="shared" si="1"/>
        <v>841</v>
      </c>
      <c r="H21" s="250">
        <f t="shared" ref="H21" si="2">SUM(H9:H20)</f>
        <v>100</v>
      </c>
      <c r="I21" s="29" t="s">
        <v>56</v>
      </c>
    </row>
    <row r="22" spans="1:9" ht="22.5" customHeight="1">
      <c r="A22" s="14" t="s">
        <v>319</v>
      </c>
      <c r="B22" s="493">
        <f>B21/$G$21%</f>
        <v>38.168846611177166</v>
      </c>
      <c r="C22" s="493">
        <f t="shared" ref="C22:G22" si="3">C21/$G$21%</f>
        <v>46.37336504161712</v>
      </c>
      <c r="D22" s="493">
        <f t="shared" si="3"/>
        <v>11.890606420927467</v>
      </c>
      <c r="E22" s="493">
        <f t="shared" si="3"/>
        <v>3.56718192627824</v>
      </c>
      <c r="F22" s="493">
        <f t="shared" si="3"/>
        <v>0</v>
      </c>
      <c r="G22" s="493">
        <f t="shared" si="3"/>
        <v>100</v>
      </c>
      <c r="H22" s="1090" t="s">
        <v>318</v>
      </c>
      <c r="I22" s="1091"/>
    </row>
  </sheetData>
  <mergeCells count="9">
    <mergeCell ref="H22:I22"/>
    <mergeCell ref="A7:A8"/>
    <mergeCell ref="A1:I1"/>
    <mergeCell ref="A2:I2"/>
    <mergeCell ref="A3:I3"/>
    <mergeCell ref="A4:I4"/>
    <mergeCell ref="B7:G7"/>
    <mergeCell ref="H7:H8"/>
    <mergeCell ref="I7:I8"/>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I22"/>
  <sheetViews>
    <sheetView rightToLeft="1" view="pageBreakPreview" topLeftCell="A4" zoomScaleNormal="100" zoomScaleSheetLayoutView="100" workbookViewId="0">
      <selection activeCell="E15" sqref="E15"/>
    </sheetView>
  </sheetViews>
  <sheetFormatPr defaultColWidth="9.140625" defaultRowHeight="12.75"/>
  <cols>
    <col min="1" max="1" width="18" style="1" customWidth="1"/>
    <col min="2" max="5" width="14.42578125" style="1" customWidth="1"/>
    <col min="6" max="6" width="13" style="1" customWidth="1"/>
    <col min="7" max="7" width="14.42578125" style="1" customWidth="1"/>
    <col min="8" max="8" width="13.42578125" style="1" customWidth="1"/>
    <col min="9" max="9" width="20.42578125" style="1" customWidth="1"/>
    <col min="10" max="16384" width="9.140625" style="1"/>
  </cols>
  <sheetData>
    <row r="1" spans="1:9" ht="24" customHeight="1">
      <c r="A1" s="1097" t="s">
        <v>338</v>
      </c>
      <c r="B1" s="1097"/>
      <c r="C1" s="1097"/>
      <c r="D1" s="1097"/>
      <c r="E1" s="1097"/>
      <c r="F1" s="1097"/>
      <c r="G1" s="1097"/>
      <c r="H1" s="1097"/>
      <c r="I1" s="1097"/>
    </row>
    <row r="2" spans="1:9" ht="15.75" customHeight="1">
      <c r="A2" s="1050" t="s">
        <v>337</v>
      </c>
      <c r="B2" s="1050"/>
      <c r="C2" s="1050"/>
      <c r="D2" s="1050"/>
      <c r="E2" s="1050"/>
      <c r="F2" s="1050"/>
      <c r="G2" s="1050"/>
      <c r="H2" s="1050"/>
      <c r="I2" s="1050"/>
    </row>
    <row r="3" spans="1:9" ht="15.75" customHeight="1">
      <c r="A3" s="1050">
        <v>2019</v>
      </c>
      <c r="B3" s="1050"/>
      <c r="C3" s="1050"/>
      <c r="D3" s="1050"/>
      <c r="E3" s="1050"/>
      <c r="F3" s="1050"/>
      <c r="G3" s="1050"/>
      <c r="H3" s="1050"/>
      <c r="I3" s="1050"/>
    </row>
    <row r="4" spans="1:9" ht="18.75" customHeight="1">
      <c r="A4" s="1050" t="s">
        <v>1</v>
      </c>
      <c r="B4" s="1050"/>
      <c r="C4" s="1050"/>
      <c r="D4" s="1050"/>
      <c r="E4" s="1050"/>
      <c r="F4" s="1050"/>
      <c r="G4" s="1050"/>
      <c r="H4" s="1050"/>
      <c r="I4" s="1050"/>
    </row>
    <row r="5" spans="1:9" ht="18.75" customHeight="1">
      <c r="A5" s="372"/>
      <c r="B5" s="372"/>
      <c r="C5" s="372"/>
      <c r="D5" s="372"/>
      <c r="E5" s="372"/>
      <c r="F5" s="393"/>
      <c r="G5" s="372"/>
      <c r="H5" s="372"/>
      <c r="I5" s="372"/>
    </row>
    <row r="6" spans="1:9" s="31" customFormat="1" ht="16.5">
      <c r="A6" s="362" t="s">
        <v>512</v>
      </c>
      <c r="B6" s="363"/>
      <c r="C6" s="364"/>
      <c r="D6" s="364"/>
      <c r="E6" s="364"/>
      <c r="F6" s="364"/>
      <c r="G6" s="369"/>
      <c r="H6" s="369"/>
      <c r="I6" s="369" t="s">
        <v>513</v>
      </c>
    </row>
    <row r="7" spans="1:9" ht="27.75" customHeight="1" thickBot="1">
      <c r="A7" s="1012" t="s">
        <v>326</v>
      </c>
      <c r="B7" s="1143" t="s">
        <v>305</v>
      </c>
      <c r="C7" s="1143"/>
      <c r="D7" s="1143"/>
      <c r="E7" s="1143"/>
      <c r="F7" s="1143"/>
      <c r="G7" s="1143"/>
      <c r="H7" s="1093" t="s">
        <v>637</v>
      </c>
      <c r="I7" s="1095" t="s">
        <v>325</v>
      </c>
    </row>
    <row r="8" spans="1:9" ht="57" customHeight="1">
      <c r="A8" s="1092"/>
      <c r="B8" s="352" t="s">
        <v>652</v>
      </c>
      <c r="C8" s="352" t="s">
        <v>640</v>
      </c>
      <c r="D8" s="352" t="s">
        <v>641</v>
      </c>
      <c r="E8" s="352" t="s">
        <v>653</v>
      </c>
      <c r="F8" s="392" t="s">
        <v>611</v>
      </c>
      <c r="G8" s="318" t="s">
        <v>108</v>
      </c>
      <c r="H8" s="1094"/>
      <c r="I8" s="1096"/>
    </row>
    <row r="9" spans="1:9" ht="16.5" customHeight="1" thickBot="1">
      <c r="A9" s="242" t="s">
        <v>324</v>
      </c>
      <c r="B9" s="227">
        <v>164</v>
      </c>
      <c r="C9" s="35">
        <v>42</v>
      </c>
      <c r="D9" s="35">
        <v>67</v>
      </c>
      <c r="E9" s="35">
        <v>0</v>
      </c>
      <c r="F9" s="228">
        <v>0</v>
      </c>
      <c r="G9" s="111">
        <f>SUM(Table_Default__XLS_TAB_28_397[[#This Row],[BAAN_SMALLERQATAR]:[Column1]])</f>
        <v>273</v>
      </c>
      <c r="H9" s="901">
        <f t="shared" ref="H9:H20" si="0">G9/$G$21%</f>
        <v>14.893617021276597</v>
      </c>
      <c r="I9" s="29" t="s">
        <v>323</v>
      </c>
    </row>
    <row r="10" spans="1:9" ht="16.5" customHeight="1" thickBot="1">
      <c r="A10" s="243">
        <v>-1</v>
      </c>
      <c r="B10" s="227">
        <v>425</v>
      </c>
      <c r="C10" s="35">
        <v>299</v>
      </c>
      <c r="D10" s="35">
        <v>64</v>
      </c>
      <c r="E10" s="35">
        <v>24</v>
      </c>
      <c r="F10" s="228">
        <v>0</v>
      </c>
      <c r="G10" s="111">
        <f>SUM(Table_Default__XLS_TAB_28_397[[#This Row],[BAAN_SMALLERQATAR]:[Column1]])</f>
        <v>812</v>
      </c>
      <c r="H10" s="245">
        <f>G10/$G$21%</f>
        <v>44.298963447899624</v>
      </c>
      <c r="I10" s="17">
        <v>-1</v>
      </c>
    </row>
    <row r="11" spans="1:9" ht="16.5" customHeight="1" thickBot="1">
      <c r="A11" s="244">
        <v>1</v>
      </c>
      <c r="B11" s="227">
        <v>17</v>
      </c>
      <c r="C11" s="35">
        <v>81</v>
      </c>
      <c r="D11" s="35">
        <v>6</v>
      </c>
      <c r="E11" s="35">
        <v>1</v>
      </c>
      <c r="F11" s="228">
        <v>0</v>
      </c>
      <c r="G11" s="111">
        <f>SUM(Table_Default__XLS_TAB_28_397[[#This Row],[BAAN_SMALLERQATAR]:[Column1]])</f>
        <v>105</v>
      </c>
      <c r="H11" s="246">
        <f t="shared" si="0"/>
        <v>5.728314238952537</v>
      </c>
      <c r="I11" s="15">
        <v>1</v>
      </c>
    </row>
    <row r="12" spans="1:9" ht="16.5" customHeight="1" thickBot="1">
      <c r="A12" s="243">
        <v>2</v>
      </c>
      <c r="B12" s="227">
        <v>11</v>
      </c>
      <c r="C12" s="35">
        <v>67</v>
      </c>
      <c r="D12" s="35">
        <v>8</v>
      </c>
      <c r="E12" s="35">
        <v>2</v>
      </c>
      <c r="F12" s="228">
        <v>0</v>
      </c>
      <c r="G12" s="111">
        <f>SUM(Table_Default__XLS_TAB_28_397[[#This Row],[BAAN_SMALLERQATAR]:[Column1]])</f>
        <v>88</v>
      </c>
      <c r="H12" s="245">
        <f t="shared" si="0"/>
        <v>4.8008728859792695</v>
      </c>
      <c r="I12" s="17">
        <v>2</v>
      </c>
    </row>
    <row r="13" spans="1:9" ht="16.5" customHeight="1" thickBot="1">
      <c r="A13" s="244">
        <v>3</v>
      </c>
      <c r="B13" s="227">
        <v>17</v>
      </c>
      <c r="C13" s="35">
        <v>48</v>
      </c>
      <c r="D13" s="35">
        <v>3</v>
      </c>
      <c r="E13" s="35">
        <v>2</v>
      </c>
      <c r="F13" s="228">
        <v>0</v>
      </c>
      <c r="G13" s="111">
        <f>SUM(Table_Default__XLS_TAB_28_397[[#This Row],[BAAN_SMALLERQATAR]:[Column1]])</f>
        <v>70</v>
      </c>
      <c r="H13" s="246">
        <f t="shared" si="0"/>
        <v>3.8188761593016918</v>
      </c>
      <c r="I13" s="15">
        <v>3</v>
      </c>
    </row>
    <row r="14" spans="1:9" ht="16.5" customHeight="1" thickBot="1">
      <c r="A14" s="243">
        <v>4</v>
      </c>
      <c r="B14" s="227">
        <v>13</v>
      </c>
      <c r="C14" s="35">
        <v>39</v>
      </c>
      <c r="D14" s="35">
        <v>4</v>
      </c>
      <c r="E14" s="35">
        <v>0</v>
      </c>
      <c r="F14" s="228">
        <v>0</v>
      </c>
      <c r="G14" s="111">
        <f>SUM(Table_Default__XLS_TAB_28_397[[#This Row],[BAAN_SMALLERQATAR]:[Column1]])</f>
        <v>56</v>
      </c>
      <c r="H14" s="245">
        <f t="shared" si="0"/>
        <v>3.0551009274413534</v>
      </c>
      <c r="I14" s="17">
        <v>4</v>
      </c>
    </row>
    <row r="15" spans="1:9" ht="16.5" customHeight="1" thickBot="1">
      <c r="A15" s="244" t="s">
        <v>1277</v>
      </c>
      <c r="B15" s="227">
        <v>48</v>
      </c>
      <c r="C15" s="35">
        <v>118</v>
      </c>
      <c r="D15" s="35">
        <v>18</v>
      </c>
      <c r="E15" s="35">
        <v>6</v>
      </c>
      <c r="F15" s="228">
        <v>0</v>
      </c>
      <c r="G15" s="111">
        <f>SUM(Table_Default__XLS_TAB_28_397[[#This Row],[BAAN_SMALLERQATAR]:[Column1]])</f>
        <v>190</v>
      </c>
      <c r="H15" s="246">
        <f t="shared" si="0"/>
        <v>10.365521003818877</v>
      </c>
      <c r="I15" s="15" t="s">
        <v>322</v>
      </c>
    </row>
    <row r="16" spans="1:9" ht="16.5" customHeight="1" thickBot="1">
      <c r="A16" s="243" t="s">
        <v>1278</v>
      </c>
      <c r="B16" s="227">
        <v>31</v>
      </c>
      <c r="C16" s="35">
        <v>59</v>
      </c>
      <c r="D16" s="35">
        <v>8</v>
      </c>
      <c r="E16" s="35">
        <v>4</v>
      </c>
      <c r="F16" s="228">
        <v>0</v>
      </c>
      <c r="G16" s="111">
        <f>SUM(Table_Default__XLS_TAB_28_397[[#This Row],[BAAN_SMALLERQATAR]:[Column1]])</f>
        <v>102</v>
      </c>
      <c r="H16" s="245">
        <f t="shared" si="0"/>
        <v>5.5646481178396074</v>
      </c>
      <c r="I16" s="17" t="s">
        <v>321</v>
      </c>
    </row>
    <row r="17" spans="1:9" ht="16.5" customHeight="1" thickBot="1">
      <c r="A17" s="244" t="s">
        <v>1279</v>
      </c>
      <c r="B17" s="227">
        <v>25</v>
      </c>
      <c r="C17" s="35">
        <v>33</v>
      </c>
      <c r="D17" s="35">
        <v>7</v>
      </c>
      <c r="E17" s="35">
        <v>3</v>
      </c>
      <c r="F17" s="228">
        <v>0</v>
      </c>
      <c r="G17" s="111">
        <f>SUM(Table_Default__XLS_TAB_28_397[[#This Row],[BAAN_SMALLERQATAR]:[Column1]])</f>
        <v>68</v>
      </c>
      <c r="H17" s="246">
        <f t="shared" si="0"/>
        <v>3.7097654118930716</v>
      </c>
      <c r="I17" s="15" t="s">
        <v>134</v>
      </c>
    </row>
    <row r="18" spans="1:9" ht="16.5" customHeight="1" thickBot="1">
      <c r="A18" s="243" t="s">
        <v>1262</v>
      </c>
      <c r="B18" s="227">
        <v>7</v>
      </c>
      <c r="C18" s="35">
        <v>11</v>
      </c>
      <c r="D18" s="35">
        <v>5</v>
      </c>
      <c r="E18" s="35">
        <v>2</v>
      </c>
      <c r="F18" s="228">
        <v>0</v>
      </c>
      <c r="G18" s="111">
        <f>SUM(Table_Default__XLS_TAB_28_397[[#This Row],[BAAN_SMALLERQATAR]:[Column1]])</f>
        <v>25</v>
      </c>
      <c r="H18" s="245">
        <f t="shared" si="0"/>
        <v>1.3638843426077469</v>
      </c>
      <c r="I18" s="17" t="s">
        <v>128</v>
      </c>
    </row>
    <row r="19" spans="1:9" ht="16.5" customHeight="1" thickBot="1">
      <c r="A19" s="244" t="s">
        <v>441</v>
      </c>
      <c r="B19" s="227">
        <v>15</v>
      </c>
      <c r="C19" s="35">
        <v>23</v>
      </c>
      <c r="D19" s="35">
        <v>1</v>
      </c>
      <c r="E19" s="35">
        <v>2</v>
      </c>
      <c r="F19" s="228">
        <v>0</v>
      </c>
      <c r="G19" s="111">
        <f>SUM(Table_Default__XLS_TAB_28_397[[#This Row],[BAAN_SMALLERQATAR]:[Column1]])</f>
        <v>41</v>
      </c>
      <c r="H19" s="246">
        <f t="shared" si="0"/>
        <v>2.2367703218767052</v>
      </c>
      <c r="I19" s="15" t="s">
        <v>441</v>
      </c>
    </row>
    <row r="20" spans="1:9" ht="16.5" customHeight="1" thickBot="1">
      <c r="A20" s="247" t="s">
        <v>15</v>
      </c>
      <c r="B20" s="229">
        <v>1</v>
      </c>
      <c r="C20" s="230">
        <v>2</v>
      </c>
      <c r="D20" s="230">
        <v>0</v>
      </c>
      <c r="E20" s="230">
        <v>0</v>
      </c>
      <c r="F20" s="231">
        <v>0</v>
      </c>
      <c r="G20" s="111">
        <f>SUM(Table_Default__XLS_TAB_28_397[[#This Row],[BAAN_SMALLERQATAR]:[Column1]])</f>
        <v>3</v>
      </c>
      <c r="H20" s="248">
        <f t="shared" si="0"/>
        <v>0.16366612111292964</v>
      </c>
      <c r="I20" s="75" t="s">
        <v>16</v>
      </c>
    </row>
    <row r="21" spans="1:9" ht="22.5" customHeight="1" thickBot="1">
      <c r="A21" s="30" t="s">
        <v>17</v>
      </c>
      <c r="B21" s="251">
        <f>SUM(B9:B20)</f>
        <v>774</v>
      </c>
      <c r="C21" s="251">
        <f t="shared" ref="C21:G21" si="1">SUM(C9:C20)</f>
        <v>822</v>
      </c>
      <c r="D21" s="251">
        <f t="shared" si="1"/>
        <v>191</v>
      </c>
      <c r="E21" s="251">
        <f t="shared" si="1"/>
        <v>46</v>
      </c>
      <c r="F21" s="251">
        <f t="shared" si="1"/>
        <v>0</v>
      </c>
      <c r="G21" s="251">
        <f t="shared" si="1"/>
        <v>1833</v>
      </c>
      <c r="H21" s="250">
        <f t="shared" ref="H21" si="2">SUM(H9:H20)</f>
        <v>100.00000000000003</v>
      </c>
      <c r="I21" s="29" t="s">
        <v>56</v>
      </c>
    </row>
    <row r="22" spans="1:9" ht="22.5" customHeight="1">
      <c r="A22" s="14" t="s">
        <v>319</v>
      </c>
      <c r="B22" s="493">
        <f>B21/$G$21%</f>
        <v>42.225859247135844</v>
      </c>
      <c r="C22" s="493">
        <f t="shared" ref="C22:G22" si="3">C21/$G$21%</f>
        <v>44.844517184942724</v>
      </c>
      <c r="D22" s="493">
        <f t="shared" si="3"/>
        <v>10.420076377523188</v>
      </c>
      <c r="E22" s="493">
        <f t="shared" si="3"/>
        <v>2.5095471903982545</v>
      </c>
      <c r="F22" s="493">
        <f t="shared" si="3"/>
        <v>0</v>
      </c>
      <c r="G22" s="493">
        <f t="shared" si="3"/>
        <v>100.00000000000001</v>
      </c>
      <c r="H22" s="1090" t="s">
        <v>318</v>
      </c>
      <c r="I22" s="1091"/>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O24"/>
  <sheetViews>
    <sheetView rightToLeft="1" view="pageBreakPreview" topLeftCell="A4" zoomScaleNormal="100" zoomScaleSheetLayoutView="100" workbookViewId="0">
      <selection activeCell="N13" sqref="N13"/>
    </sheetView>
  </sheetViews>
  <sheetFormatPr defaultColWidth="9.140625" defaultRowHeight="12.75"/>
  <cols>
    <col min="1" max="1" width="20" style="1" customWidth="1"/>
    <col min="2" max="2" width="11.85546875" style="1" customWidth="1"/>
    <col min="3" max="12" width="7.140625" style="1" customWidth="1"/>
    <col min="13" max="13" width="11.140625" style="1" customWidth="1"/>
    <col min="14" max="14" width="9.85546875" style="1" customWidth="1"/>
    <col min="15" max="15" width="18.85546875" style="1" customWidth="1"/>
    <col min="16" max="16384" width="9.140625" style="1"/>
  </cols>
  <sheetData>
    <row r="1" spans="1:15" ht="24" customHeight="1">
      <c r="A1" s="1097" t="s">
        <v>346</v>
      </c>
      <c r="B1" s="1097"/>
      <c r="C1" s="1097"/>
      <c r="D1" s="1097"/>
      <c r="E1" s="1097"/>
      <c r="F1" s="1097"/>
      <c r="G1" s="1097"/>
      <c r="H1" s="1097"/>
      <c r="I1" s="1097"/>
      <c r="J1" s="1097"/>
      <c r="K1" s="1097"/>
      <c r="L1" s="1097"/>
      <c r="M1" s="1097"/>
      <c r="N1" s="1097"/>
      <c r="O1" s="1097"/>
    </row>
    <row r="2" spans="1:15" ht="15.75" customHeight="1">
      <c r="A2" s="1050" t="s">
        <v>345</v>
      </c>
      <c r="B2" s="1050"/>
      <c r="C2" s="1050"/>
      <c r="D2" s="1050"/>
      <c r="E2" s="1050"/>
      <c r="F2" s="1050"/>
      <c r="G2" s="1050"/>
      <c r="H2" s="1050"/>
      <c r="I2" s="1050"/>
      <c r="J2" s="1050"/>
      <c r="K2" s="1050"/>
      <c r="L2" s="1050"/>
      <c r="M2" s="1050"/>
      <c r="N2" s="1050"/>
      <c r="O2" s="1050"/>
    </row>
    <row r="3" spans="1:15" ht="15.75" customHeight="1">
      <c r="A3" s="1050">
        <v>2019</v>
      </c>
      <c r="B3" s="1050"/>
      <c r="C3" s="1050"/>
      <c r="D3" s="1050"/>
      <c r="E3" s="1050"/>
      <c r="F3" s="1050"/>
      <c r="G3" s="1050"/>
      <c r="H3" s="1050"/>
      <c r="I3" s="1050"/>
      <c r="J3" s="1050"/>
      <c r="K3" s="1050"/>
      <c r="L3" s="1050"/>
      <c r="M3" s="1050"/>
      <c r="N3" s="1050"/>
      <c r="O3" s="1050"/>
    </row>
    <row r="4" spans="1:15" ht="18.75" customHeight="1">
      <c r="A4" s="1050" t="s">
        <v>53</v>
      </c>
      <c r="B4" s="1050"/>
      <c r="C4" s="1050"/>
      <c r="D4" s="1050"/>
      <c r="E4" s="1050"/>
      <c r="F4" s="1050"/>
      <c r="G4" s="1050"/>
      <c r="H4" s="1050"/>
      <c r="I4" s="1050"/>
      <c r="J4" s="1050"/>
      <c r="K4" s="1050"/>
      <c r="L4" s="1050"/>
      <c r="M4" s="1050"/>
      <c r="N4" s="1050"/>
      <c r="O4" s="1050"/>
    </row>
    <row r="5" spans="1:15" ht="18.75" customHeight="1">
      <c r="A5" s="372"/>
      <c r="B5" s="372"/>
      <c r="C5" s="372"/>
      <c r="D5" s="372"/>
      <c r="E5" s="372"/>
      <c r="F5" s="372"/>
      <c r="G5" s="372"/>
      <c r="H5" s="372"/>
      <c r="I5" s="372"/>
      <c r="J5" s="372"/>
      <c r="K5" s="372"/>
      <c r="L5" s="372"/>
      <c r="M5" s="372"/>
      <c r="N5" s="372"/>
      <c r="O5" s="372"/>
    </row>
    <row r="6" spans="1:15" s="31" customFormat="1" ht="16.5">
      <c r="A6" s="362" t="s">
        <v>496</v>
      </c>
      <c r="B6" s="363"/>
      <c r="C6" s="363"/>
      <c r="D6" s="363"/>
      <c r="E6" s="363"/>
      <c r="F6" s="363"/>
      <c r="G6" s="363"/>
      <c r="H6" s="363"/>
      <c r="I6" s="363"/>
      <c r="J6" s="363"/>
      <c r="K6" s="363"/>
      <c r="L6" s="363"/>
      <c r="M6" s="364"/>
      <c r="N6" s="369"/>
      <c r="O6" s="369" t="s">
        <v>497</v>
      </c>
    </row>
    <row r="7" spans="1:15" ht="27.75" customHeight="1" thickBot="1">
      <c r="A7" s="1174" t="s">
        <v>656</v>
      </c>
      <c r="B7" s="1176" t="s">
        <v>553</v>
      </c>
      <c r="C7" s="1177"/>
      <c r="D7" s="1177"/>
      <c r="E7" s="1177"/>
      <c r="F7" s="1177"/>
      <c r="G7" s="1177"/>
      <c r="H7" s="1177"/>
      <c r="I7" s="1177"/>
      <c r="J7" s="1177"/>
      <c r="K7" s="1177"/>
      <c r="L7" s="1177"/>
      <c r="M7" s="1177"/>
      <c r="N7" s="1177"/>
      <c r="O7" s="1178" t="s">
        <v>344</v>
      </c>
    </row>
    <row r="8" spans="1:15" ht="42.75" customHeight="1">
      <c r="A8" s="1175"/>
      <c r="B8" s="902" t="s">
        <v>654</v>
      </c>
      <c r="C8" s="903">
        <v>-1</v>
      </c>
      <c r="D8" s="903">
        <v>1</v>
      </c>
      <c r="E8" s="903">
        <v>2</v>
      </c>
      <c r="F8" s="903">
        <v>3</v>
      </c>
      <c r="G8" s="903">
        <v>4</v>
      </c>
      <c r="H8" s="903" t="s">
        <v>1277</v>
      </c>
      <c r="I8" s="903" t="s">
        <v>1278</v>
      </c>
      <c r="J8" s="903" t="s">
        <v>1279</v>
      </c>
      <c r="K8" s="903" t="s">
        <v>1262</v>
      </c>
      <c r="L8" s="903" t="s">
        <v>441</v>
      </c>
      <c r="M8" s="332" t="s">
        <v>655</v>
      </c>
      <c r="N8" s="332" t="s">
        <v>116</v>
      </c>
      <c r="O8" s="1179"/>
    </row>
    <row r="9" spans="1:15" ht="16.5" thickBot="1">
      <c r="A9" s="23">
        <v>-20</v>
      </c>
      <c r="B9" s="22">
        <v>0</v>
      </c>
      <c r="C9" s="22">
        <v>0</v>
      </c>
      <c r="D9" s="22">
        <v>0</v>
      </c>
      <c r="E9" s="22">
        <v>1</v>
      </c>
      <c r="F9" s="22">
        <v>0</v>
      </c>
      <c r="G9" s="22">
        <v>0</v>
      </c>
      <c r="H9" s="22">
        <v>0</v>
      </c>
      <c r="I9" s="22">
        <v>0</v>
      </c>
      <c r="J9" s="22">
        <v>0</v>
      </c>
      <c r="K9" s="22">
        <v>0</v>
      </c>
      <c r="L9" s="22">
        <v>0</v>
      </c>
      <c r="M9" s="22">
        <v>0</v>
      </c>
      <c r="N9" s="55">
        <f>SUM(Table_Default__XLS_TAB_29_1[[#This Row],[B_CONS_CNT]:[NOT_STATED]])</f>
        <v>1</v>
      </c>
      <c r="O9" s="905" t="s">
        <v>437</v>
      </c>
    </row>
    <row r="10" spans="1:15" ht="16.5" thickBot="1">
      <c r="A10" s="23" t="s">
        <v>128</v>
      </c>
      <c r="B10" s="22">
        <v>36</v>
      </c>
      <c r="C10" s="22">
        <v>24</v>
      </c>
      <c r="D10" s="22">
        <v>14</v>
      </c>
      <c r="E10" s="22">
        <v>9</v>
      </c>
      <c r="F10" s="22">
        <v>1</v>
      </c>
      <c r="G10" s="22">
        <v>4</v>
      </c>
      <c r="H10" s="22">
        <v>2</v>
      </c>
      <c r="I10" s="22">
        <v>0</v>
      </c>
      <c r="J10" s="22">
        <v>0</v>
      </c>
      <c r="K10" s="22">
        <v>0</v>
      </c>
      <c r="L10" s="22">
        <v>0</v>
      </c>
      <c r="M10" s="22">
        <v>0</v>
      </c>
      <c r="N10" s="55">
        <f>SUM(Table_Default__XLS_TAB_29_1[[#This Row],[B_CONS_CNT]:[NOT_STATED]])</f>
        <v>90</v>
      </c>
      <c r="O10" s="905" t="s">
        <v>128</v>
      </c>
    </row>
    <row r="11" spans="1:15" ht="16.5" thickBot="1">
      <c r="A11" s="23" t="s">
        <v>127</v>
      </c>
      <c r="B11" s="22">
        <v>86</v>
      </c>
      <c r="C11" s="22">
        <v>73</v>
      </c>
      <c r="D11" s="22">
        <v>21</v>
      </c>
      <c r="E11" s="22">
        <v>17</v>
      </c>
      <c r="F11" s="22">
        <v>22</v>
      </c>
      <c r="G11" s="22">
        <v>14</v>
      </c>
      <c r="H11" s="22">
        <v>26</v>
      </c>
      <c r="I11" s="22">
        <v>1</v>
      </c>
      <c r="J11" s="22">
        <v>0</v>
      </c>
      <c r="K11" s="22">
        <v>0</v>
      </c>
      <c r="L11" s="22">
        <v>0</v>
      </c>
      <c r="M11" s="22">
        <v>0</v>
      </c>
      <c r="N11" s="55">
        <f>SUM(Table_Default__XLS_TAB_29_1[[#This Row],[B_CONS_CNT]:[NOT_STATED]])</f>
        <v>260</v>
      </c>
      <c r="O11" s="905" t="s">
        <v>127</v>
      </c>
    </row>
    <row r="12" spans="1:15" ht="16.5" thickBot="1">
      <c r="A12" s="23" t="s">
        <v>126</v>
      </c>
      <c r="B12" s="22">
        <v>29</v>
      </c>
      <c r="C12" s="22">
        <v>90</v>
      </c>
      <c r="D12" s="22">
        <v>15</v>
      </c>
      <c r="E12" s="22">
        <v>9</v>
      </c>
      <c r="F12" s="22">
        <v>8</v>
      </c>
      <c r="G12" s="22">
        <v>6</v>
      </c>
      <c r="H12" s="22">
        <v>40</v>
      </c>
      <c r="I12" s="22">
        <v>12</v>
      </c>
      <c r="J12" s="22">
        <v>1</v>
      </c>
      <c r="K12" s="22">
        <v>0</v>
      </c>
      <c r="L12" s="22">
        <v>0</v>
      </c>
      <c r="M12" s="22">
        <v>0</v>
      </c>
      <c r="N12" s="55">
        <f>SUM(Table_Default__XLS_TAB_29_1[[#This Row],[B_CONS_CNT]:[NOT_STATED]])</f>
        <v>210</v>
      </c>
      <c r="O12" s="905" t="s">
        <v>126</v>
      </c>
    </row>
    <row r="13" spans="1:15" ht="16.5" thickBot="1">
      <c r="A13" s="23" t="s">
        <v>125</v>
      </c>
      <c r="B13" s="22">
        <v>19</v>
      </c>
      <c r="C13" s="22">
        <v>73</v>
      </c>
      <c r="D13" s="22">
        <v>4</v>
      </c>
      <c r="E13" s="22">
        <v>8</v>
      </c>
      <c r="F13" s="22">
        <v>6</v>
      </c>
      <c r="G13" s="22">
        <v>3</v>
      </c>
      <c r="H13" s="22">
        <v>22</v>
      </c>
      <c r="I13" s="22">
        <v>18</v>
      </c>
      <c r="J13" s="22">
        <v>10</v>
      </c>
      <c r="K13" s="22">
        <v>1</v>
      </c>
      <c r="L13" s="22">
        <v>0</v>
      </c>
      <c r="M13" s="22">
        <v>1</v>
      </c>
      <c r="N13" s="55">
        <f>SUM(Table_Default__XLS_TAB_29_1[[#This Row],[B_CONS_CNT]:[NOT_STATED]])</f>
        <v>165</v>
      </c>
      <c r="O13" s="905" t="s">
        <v>125</v>
      </c>
    </row>
    <row r="14" spans="1:15" ht="16.5" thickBot="1">
      <c r="A14" s="23" t="s">
        <v>124</v>
      </c>
      <c r="B14" s="22">
        <v>10</v>
      </c>
      <c r="C14" s="22">
        <v>59</v>
      </c>
      <c r="D14" s="22">
        <v>4</v>
      </c>
      <c r="E14" s="22">
        <v>3</v>
      </c>
      <c r="F14" s="22">
        <v>5</v>
      </c>
      <c r="G14" s="22">
        <v>1</v>
      </c>
      <c r="H14" s="22">
        <v>7</v>
      </c>
      <c r="I14" s="22">
        <v>11</v>
      </c>
      <c r="J14" s="22">
        <v>14</v>
      </c>
      <c r="K14" s="22">
        <v>1</v>
      </c>
      <c r="L14" s="22">
        <v>0</v>
      </c>
      <c r="M14" s="22">
        <v>1</v>
      </c>
      <c r="N14" s="55">
        <f>SUM(Table_Default__XLS_TAB_29_1[[#This Row],[B_CONS_CNT]:[NOT_STATED]])</f>
        <v>116</v>
      </c>
      <c r="O14" s="905" t="s">
        <v>124</v>
      </c>
    </row>
    <row r="15" spans="1:15" ht="16.5" thickBot="1">
      <c r="A15" s="23" t="s">
        <v>123</v>
      </c>
      <c r="B15" s="22">
        <v>8</v>
      </c>
      <c r="C15" s="22">
        <v>60</v>
      </c>
      <c r="D15" s="22">
        <v>3</v>
      </c>
      <c r="E15" s="22">
        <v>3</v>
      </c>
      <c r="F15" s="22">
        <v>1</v>
      </c>
      <c r="G15" s="22">
        <v>2</v>
      </c>
      <c r="H15" s="22">
        <v>1</v>
      </c>
      <c r="I15" s="22">
        <v>3</v>
      </c>
      <c r="J15" s="22">
        <v>6</v>
      </c>
      <c r="K15" s="22">
        <v>5</v>
      </c>
      <c r="L15" s="22">
        <v>2</v>
      </c>
      <c r="M15" s="22">
        <v>0</v>
      </c>
      <c r="N15" s="55">
        <f>SUM(Table_Default__XLS_TAB_29_1[[#This Row],[B_CONS_CNT]:[NOT_STATED]])</f>
        <v>94</v>
      </c>
      <c r="O15" s="905" t="s">
        <v>123</v>
      </c>
    </row>
    <row r="16" spans="1:15" ht="16.5" thickBot="1">
      <c r="A16" s="23" t="s">
        <v>122</v>
      </c>
      <c r="B16" s="22">
        <v>4</v>
      </c>
      <c r="C16" s="22">
        <v>44</v>
      </c>
      <c r="D16" s="22">
        <v>2</v>
      </c>
      <c r="E16" s="22">
        <v>1</v>
      </c>
      <c r="F16" s="22">
        <v>1</v>
      </c>
      <c r="G16" s="22">
        <v>0</v>
      </c>
      <c r="H16" s="22">
        <v>3</v>
      </c>
      <c r="I16" s="22">
        <v>5</v>
      </c>
      <c r="J16" s="22">
        <v>3</v>
      </c>
      <c r="K16" s="22">
        <v>8</v>
      </c>
      <c r="L16" s="22">
        <v>6</v>
      </c>
      <c r="M16" s="22">
        <v>0</v>
      </c>
      <c r="N16" s="55">
        <f>SUM(Table_Default__XLS_TAB_29_1[[#This Row],[B_CONS_CNT]:[NOT_STATED]])</f>
        <v>77</v>
      </c>
      <c r="O16" s="905" t="s">
        <v>122</v>
      </c>
    </row>
    <row r="17" spans="1:15" ht="16.5" thickBot="1">
      <c r="A17" s="23" t="s">
        <v>121</v>
      </c>
      <c r="B17" s="22">
        <v>1</v>
      </c>
      <c r="C17" s="22">
        <v>18</v>
      </c>
      <c r="D17" s="22">
        <v>0</v>
      </c>
      <c r="E17" s="22">
        <v>2</v>
      </c>
      <c r="F17" s="22">
        <v>1</v>
      </c>
      <c r="G17" s="22">
        <v>1</v>
      </c>
      <c r="H17" s="22">
        <v>3</v>
      </c>
      <c r="I17" s="22">
        <v>7</v>
      </c>
      <c r="J17" s="22">
        <v>2</v>
      </c>
      <c r="K17" s="22">
        <v>2</v>
      </c>
      <c r="L17" s="22">
        <v>8</v>
      </c>
      <c r="M17" s="22">
        <v>0</v>
      </c>
      <c r="N17" s="55">
        <f>SUM(Table_Default__XLS_TAB_29_1[[#This Row],[B_CONS_CNT]:[NOT_STATED]])</f>
        <v>45</v>
      </c>
      <c r="O17" s="905" t="s">
        <v>121</v>
      </c>
    </row>
    <row r="18" spans="1:15" ht="16.5" thickBot="1">
      <c r="A18" s="23" t="s">
        <v>120</v>
      </c>
      <c r="B18" s="22">
        <v>2</v>
      </c>
      <c r="C18" s="22">
        <v>23</v>
      </c>
      <c r="D18" s="22">
        <v>0</v>
      </c>
      <c r="E18" s="22">
        <v>0</v>
      </c>
      <c r="F18" s="22">
        <v>0</v>
      </c>
      <c r="G18" s="22">
        <v>0</v>
      </c>
      <c r="H18" s="22">
        <v>0</v>
      </c>
      <c r="I18" s="22">
        <v>1</v>
      </c>
      <c r="J18" s="22">
        <v>1</v>
      </c>
      <c r="K18" s="22">
        <v>1</v>
      </c>
      <c r="L18" s="22">
        <v>2</v>
      </c>
      <c r="M18" s="22">
        <v>0</v>
      </c>
      <c r="N18" s="55">
        <f>SUM(Table_Default__XLS_TAB_29_1[[#This Row],[B_CONS_CNT]:[NOT_STATED]])</f>
        <v>30</v>
      </c>
      <c r="O18" s="905" t="s">
        <v>120</v>
      </c>
    </row>
    <row r="19" spans="1:15" ht="16.5" thickBot="1">
      <c r="A19" s="23" t="s">
        <v>119</v>
      </c>
      <c r="B19" s="22">
        <v>1</v>
      </c>
      <c r="C19" s="22">
        <v>8</v>
      </c>
      <c r="D19" s="22">
        <v>0</v>
      </c>
      <c r="E19" s="22">
        <v>0</v>
      </c>
      <c r="F19" s="22">
        <v>0</v>
      </c>
      <c r="G19" s="22">
        <v>1</v>
      </c>
      <c r="H19" s="22">
        <v>0</v>
      </c>
      <c r="I19" s="22">
        <v>1</v>
      </c>
      <c r="J19" s="22">
        <v>0</v>
      </c>
      <c r="K19" s="22">
        <v>0</v>
      </c>
      <c r="L19" s="22">
        <v>4</v>
      </c>
      <c r="M19" s="22">
        <v>0</v>
      </c>
      <c r="N19" s="55">
        <f>SUM(Table_Default__XLS_TAB_29_1[[#This Row],[B_CONS_CNT]:[NOT_STATED]])</f>
        <v>15</v>
      </c>
      <c r="O19" s="905" t="s">
        <v>119</v>
      </c>
    </row>
    <row r="20" spans="1:15" ht="16.5" thickBot="1">
      <c r="A20" s="23" t="s">
        <v>118</v>
      </c>
      <c r="B20" s="22">
        <v>0</v>
      </c>
      <c r="C20" s="22">
        <v>4</v>
      </c>
      <c r="D20" s="22">
        <v>0</v>
      </c>
      <c r="E20" s="22">
        <v>0</v>
      </c>
      <c r="F20" s="22">
        <v>0</v>
      </c>
      <c r="G20" s="22">
        <v>0</v>
      </c>
      <c r="H20" s="22">
        <v>0</v>
      </c>
      <c r="I20" s="22">
        <v>2</v>
      </c>
      <c r="J20" s="22">
        <v>1</v>
      </c>
      <c r="K20" s="22">
        <v>0</v>
      </c>
      <c r="L20" s="22">
        <v>2</v>
      </c>
      <c r="M20" s="22">
        <v>0</v>
      </c>
      <c r="N20" s="55">
        <f>SUM(Table_Default__XLS_TAB_29_1[[#This Row],[B_CONS_CNT]:[NOT_STATED]])</f>
        <v>9</v>
      </c>
      <c r="O20" s="905" t="s">
        <v>118</v>
      </c>
    </row>
    <row r="21" spans="1:15" ht="16.5" thickBot="1">
      <c r="A21" s="23" t="s">
        <v>117</v>
      </c>
      <c r="B21" s="22">
        <v>0</v>
      </c>
      <c r="C21" s="22">
        <v>2</v>
      </c>
      <c r="D21" s="22">
        <v>0</v>
      </c>
      <c r="E21" s="22">
        <v>0</v>
      </c>
      <c r="F21" s="22">
        <v>0</v>
      </c>
      <c r="G21" s="22">
        <v>0</v>
      </c>
      <c r="H21" s="22">
        <v>0</v>
      </c>
      <c r="I21" s="22">
        <v>0</v>
      </c>
      <c r="J21" s="22">
        <v>0</v>
      </c>
      <c r="K21" s="22">
        <v>0</v>
      </c>
      <c r="L21" s="22">
        <v>1</v>
      </c>
      <c r="M21" s="22">
        <v>0</v>
      </c>
      <c r="N21" s="55">
        <f>SUM(Table_Default__XLS_TAB_29_1[[#This Row],[B_CONS_CNT]:[NOT_STATED]])</f>
        <v>3</v>
      </c>
      <c r="O21" s="905" t="s">
        <v>117</v>
      </c>
    </row>
    <row r="22" spans="1:15" ht="16.5" thickBot="1">
      <c r="A22" s="904" t="s">
        <v>15</v>
      </c>
      <c r="B22" s="457">
        <v>0</v>
      </c>
      <c r="C22" s="457">
        <v>0</v>
      </c>
      <c r="D22" s="457">
        <v>0</v>
      </c>
      <c r="E22" s="457">
        <v>0</v>
      </c>
      <c r="F22" s="457">
        <v>0</v>
      </c>
      <c r="G22" s="457">
        <v>0</v>
      </c>
      <c r="H22" s="457">
        <v>0</v>
      </c>
      <c r="I22" s="457">
        <v>0</v>
      </c>
      <c r="J22" s="457">
        <v>0</v>
      </c>
      <c r="K22" s="457">
        <v>0</v>
      </c>
      <c r="L22" s="457">
        <v>0</v>
      </c>
      <c r="M22" s="457">
        <v>0</v>
      </c>
      <c r="N22" s="55">
        <f>SUM(Table_Default__XLS_TAB_29_1[[#This Row],[B_CONS_CNT]:[NOT_STATED]])</f>
        <v>0</v>
      </c>
      <c r="O22" s="906" t="s">
        <v>16</v>
      </c>
    </row>
    <row r="23" spans="1:15" ht="21" customHeight="1">
      <c r="A23" s="91" t="s">
        <v>17</v>
      </c>
      <c r="B23" s="92">
        <f>SUM(B9:B22)</f>
        <v>196</v>
      </c>
      <c r="C23" s="92">
        <f t="shared" ref="C23:M23" si="0">SUM(C9:C22)</f>
        <v>478</v>
      </c>
      <c r="D23" s="92">
        <f t="shared" si="0"/>
        <v>63</v>
      </c>
      <c r="E23" s="92">
        <f t="shared" si="0"/>
        <v>53</v>
      </c>
      <c r="F23" s="92">
        <f>SUM(F9:F22)</f>
        <v>45</v>
      </c>
      <c r="G23" s="92">
        <f t="shared" si="0"/>
        <v>32</v>
      </c>
      <c r="H23" s="92">
        <f t="shared" si="0"/>
        <v>104</v>
      </c>
      <c r="I23" s="92">
        <f>SUM(I9:I22)</f>
        <v>61</v>
      </c>
      <c r="J23" s="92">
        <f t="shared" si="0"/>
        <v>38</v>
      </c>
      <c r="K23" s="92">
        <f t="shared" si="0"/>
        <v>18</v>
      </c>
      <c r="L23" s="92">
        <f t="shared" si="0"/>
        <v>25</v>
      </c>
      <c r="M23" s="92">
        <f t="shared" si="0"/>
        <v>2</v>
      </c>
      <c r="N23" s="108">
        <f>SUM(N9:N22)</f>
        <v>1115</v>
      </c>
      <c r="O23" s="93" t="s">
        <v>56</v>
      </c>
    </row>
    <row r="24" spans="1:15" s="2" customFormat="1" ht="14.25">
      <c r="A24" s="775" t="s">
        <v>343</v>
      </c>
      <c r="O24" s="873" t="s">
        <v>1280</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32"/>
  <sheetViews>
    <sheetView rightToLeft="1" view="pageBreakPreview" topLeftCell="A25" zoomScaleNormal="100" zoomScaleSheetLayoutView="100" workbookViewId="0">
      <selection activeCell="M18" sqref="M18"/>
    </sheetView>
  </sheetViews>
  <sheetFormatPr defaultColWidth="9.140625" defaultRowHeight="12.75"/>
  <cols>
    <col min="1" max="1" width="35.5703125" style="2" customWidth="1"/>
    <col min="2" max="2" width="5.5703125" style="2" customWidth="1"/>
    <col min="3" max="3" width="5.42578125" style="2" customWidth="1"/>
    <col min="4" max="4" width="5.5703125" style="2" customWidth="1"/>
    <col min="5" max="5" width="35.5703125" style="2" customWidth="1"/>
    <col min="6" max="16384" width="9.140625" style="2"/>
  </cols>
  <sheetData>
    <row r="1" spans="1:10" ht="41.25" customHeight="1" thickBot="1">
      <c r="A1" s="998" t="s">
        <v>859</v>
      </c>
      <c r="B1" s="998"/>
      <c r="C1" s="681"/>
      <c r="D1" s="681"/>
      <c r="E1" s="710" t="s">
        <v>961</v>
      </c>
    </row>
    <row r="2" spans="1:10" s="705" customFormat="1" ht="27.75" customHeight="1" thickBot="1">
      <c r="A2" s="996" t="s">
        <v>960</v>
      </c>
      <c r="B2" s="997"/>
      <c r="C2" s="706"/>
      <c r="D2" s="1001" t="s">
        <v>959</v>
      </c>
      <c r="E2" s="1002"/>
    </row>
    <row r="3" spans="1:10" ht="16.5">
      <c r="A3" s="628"/>
      <c r="B3" s="628"/>
      <c r="C3" s="626"/>
      <c r="D3" s="626"/>
      <c r="E3" s="627"/>
    </row>
    <row r="4" spans="1:10" ht="17.25" customHeight="1">
      <c r="A4" s="999" t="s">
        <v>958</v>
      </c>
      <c r="B4" s="999"/>
      <c r="C4" s="626"/>
      <c r="D4" s="1004" t="s">
        <v>957</v>
      </c>
      <c r="E4" s="1004"/>
    </row>
    <row r="5" spans="1:10" ht="43.5" customHeight="1">
      <c r="A5" s="1000" t="s">
        <v>956</v>
      </c>
      <c r="B5" s="1000"/>
      <c r="D5" s="1003" t="s">
        <v>955</v>
      </c>
      <c r="E5" s="1003"/>
    </row>
    <row r="6" spans="1:10" ht="14.25" customHeight="1">
      <c r="A6" s="1008" t="s">
        <v>923</v>
      </c>
      <c r="B6" s="1005" t="s">
        <v>943</v>
      </c>
      <c r="C6" s="1005"/>
      <c r="D6" s="1005"/>
      <c r="E6" s="1007" t="s">
        <v>954</v>
      </c>
      <c r="F6" s="702"/>
      <c r="J6" s="701"/>
    </row>
    <row r="7" spans="1:10" ht="14.25" customHeight="1">
      <c r="A7" s="1008"/>
      <c r="B7" s="1006" t="s">
        <v>930</v>
      </c>
      <c r="C7" s="1006"/>
      <c r="D7" s="1006"/>
      <c r="E7" s="1007"/>
      <c r="F7" s="702"/>
      <c r="J7" s="701"/>
    </row>
    <row r="8" spans="1:10" ht="15.75">
      <c r="A8" s="1000" t="s">
        <v>953</v>
      </c>
      <c r="B8" s="1000"/>
      <c r="D8" s="707"/>
      <c r="E8" s="709" t="s">
        <v>952</v>
      </c>
    </row>
    <row r="9" spans="1:10" ht="30.75" customHeight="1">
      <c r="A9" s="1000" t="s">
        <v>951</v>
      </c>
      <c r="B9" s="1000"/>
      <c r="D9" s="707"/>
      <c r="E9" s="709" t="s">
        <v>950</v>
      </c>
    </row>
    <row r="10" spans="1:10" ht="15.75">
      <c r="A10" s="1000" t="s">
        <v>949</v>
      </c>
      <c r="B10" s="1000"/>
      <c r="D10" s="707"/>
      <c r="E10" s="709" t="s">
        <v>948</v>
      </c>
    </row>
    <row r="12" spans="1:10" ht="15.75">
      <c r="A12" s="701" t="s">
        <v>947</v>
      </c>
      <c r="B12" s="704"/>
      <c r="C12" s="704"/>
      <c r="E12" s="703" t="s">
        <v>946</v>
      </c>
    </row>
    <row r="13" spans="1:10" ht="41.25" customHeight="1">
      <c r="A13" s="1000" t="s">
        <v>945</v>
      </c>
      <c r="B13" s="1000"/>
      <c r="D13" s="1003" t="s">
        <v>944</v>
      </c>
      <c r="E13" s="1003"/>
    </row>
    <row r="14" spans="1:10" ht="14.25" customHeight="1">
      <c r="A14" s="1008" t="s">
        <v>923</v>
      </c>
      <c r="B14" s="1005" t="s">
        <v>943</v>
      </c>
      <c r="C14" s="1005"/>
      <c r="D14" s="1005"/>
      <c r="E14" s="1007" t="s">
        <v>942</v>
      </c>
    </row>
    <row r="15" spans="1:10" ht="14.25" customHeight="1">
      <c r="A15" s="1008"/>
      <c r="B15" s="1006" t="s">
        <v>920</v>
      </c>
      <c r="C15" s="1006"/>
      <c r="D15" s="1006"/>
      <c r="E15" s="1007"/>
    </row>
    <row r="17" spans="1:10" ht="15.75">
      <c r="A17" s="701" t="s">
        <v>941</v>
      </c>
      <c r="B17" s="704"/>
      <c r="C17" s="704"/>
      <c r="E17" s="703" t="s">
        <v>940</v>
      </c>
    </row>
    <row r="18" spans="1:10" ht="68.25" customHeight="1">
      <c r="A18" s="1000" t="s">
        <v>939</v>
      </c>
      <c r="B18" s="1000"/>
      <c r="D18" s="1003" t="s">
        <v>938</v>
      </c>
      <c r="E18" s="1003"/>
    </row>
    <row r="19" spans="1:10" ht="12.75" customHeight="1">
      <c r="A19" s="708"/>
      <c r="B19" s="708"/>
      <c r="D19" s="707"/>
      <c r="E19" s="707"/>
    </row>
    <row r="20" spans="1:10" ht="13.5" thickBot="1"/>
    <row r="21" spans="1:10" s="705" customFormat="1" ht="27.75" customHeight="1" thickBot="1">
      <c r="A21" s="996" t="s">
        <v>937</v>
      </c>
      <c r="B21" s="997"/>
      <c r="C21" s="706"/>
      <c r="D21" s="1001" t="s">
        <v>936</v>
      </c>
      <c r="E21" s="1002"/>
    </row>
    <row r="22" spans="1:10" ht="21.75" customHeight="1">
      <c r="A22" s="701" t="s">
        <v>935</v>
      </c>
      <c r="E22" s="703" t="s">
        <v>934</v>
      </c>
    </row>
    <row r="23" spans="1:10" ht="38.25" customHeight="1">
      <c r="A23" s="1000" t="s">
        <v>933</v>
      </c>
      <c r="B23" s="1000"/>
      <c r="D23" s="1003" t="s">
        <v>932</v>
      </c>
      <c r="E23" s="1003"/>
    </row>
    <row r="24" spans="1:10" ht="15.75">
      <c r="A24" s="1000" t="s">
        <v>925</v>
      </c>
      <c r="B24" s="1000"/>
      <c r="D24" s="1003" t="s">
        <v>931</v>
      </c>
      <c r="E24" s="1003"/>
    </row>
    <row r="25" spans="1:10" ht="14.25" customHeight="1">
      <c r="A25" s="1008" t="s">
        <v>923</v>
      </c>
      <c r="B25" s="1005" t="s">
        <v>922</v>
      </c>
      <c r="C25" s="1005"/>
      <c r="D25" s="1005"/>
      <c r="E25" s="1007" t="s">
        <v>921</v>
      </c>
      <c r="F25" s="702"/>
      <c r="J25" s="701"/>
    </row>
    <row r="26" spans="1:10" ht="14.25" customHeight="1">
      <c r="A26" s="1008"/>
      <c r="B26" s="1006" t="s">
        <v>930</v>
      </c>
      <c r="C26" s="1006"/>
      <c r="D26" s="1006"/>
      <c r="E26" s="1007"/>
      <c r="F26" s="702"/>
      <c r="J26" s="701"/>
    </row>
    <row r="28" spans="1:10" ht="15.75">
      <c r="A28" s="701" t="s">
        <v>929</v>
      </c>
      <c r="B28" s="704"/>
      <c r="C28" s="704"/>
      <c r="E28" s="703" t="s">
        <v>928</v>
      </c>
    </row>
    <row r="29" spans="1:10" ht="43.5" customHeight="1">
      <c r="A29" s="1000" t="s">
        <v>927</v>
      </c>
      <c r="B29" s="1000"/>
      <c r="D29" s="1003" t="s">
        <v>926</v>
      </c>
      <c r="E29" s="1003"/>
    </row>
    <row r="30" spans="1:10" ht="18.75" customHeight="1">
      <c r="A30" s="1000" t="s">
        <v>925</v>
      </c>
      <c r="B30" s="1000"/>
      <c r="D30" s="1003" t="s">
        <v>924</v>
      </c>
      <c r="E30" s="1003"/>
    </row>
    <row r="31" spans="1:10" ht="14.25" customHeight="1">
      <c r="A31" s="1008" t="s">
        <v>923</v>
      </c>
      <c r="B31" s="1005" t="s">
        <v>922</v>
      </c>
      <c r="C31" s="1005"/>
      <c r="D31" s="1005"/>
      <c r="E31" s="1007" t="s">
        <v>921</v>
      </c>
      <c r="F31" s="702"/>
      <c r="J31" s="701"/>
    </row>
    <row r="32" spans="1:10" ht="14.25" customHeight="1">
      <c r="A32" s="1008"/>
      <c r="B32" s="1006" t="s">
        <v>920</v>
      </c>
      <c r="C32" s="1006"/>
      <c r="D32" s="1006"/>
      <c r="E32" s="1007"/>
      <c r="F32" s="702"/>
      <c r="J32" s="701"/>
    </row>
  </sheetData>
  <mergeCells count="40">
    <mergeCell ref="A10:B10"/>
    <mergeCell ref="A13:B13"/>
    <mergeCell ref="D13:E13"/>
    <mergeCell ref="E14:E15"/>
    <mergeCell ref="A31:A32"/>
    <mergeCell ref="B31:D31"/>
    <mergeCell ref="E31:E32"/>
    <mergeCell ref="B32:D32"/>
    <mergeCell ref="A25:A26"/>
    <mergeCell ref="B25:D25"/>
    <mergeCell ref="E25:E26"/>
    <mergeCell ref="B26:D26"/>
    <mergeCell ref="A29:B29"/>
    <mergeCell ref="A30:B30"/>
    <mergeCell ref="A24:B24"/>
    <mergeCell ref="D23:E23"/>
    <mergeCell ref="D29:E29"/>
    <mergeCell ref="D30:E30"/>
    <mergeCell ref="A14:A15"/>
    <mergeCell ref="B14:D14"/>
    <mergeCell ref="B15:D15"/>
    <mergeCell ref="D24:E24"/>
    <mergeCell ref="D21:E21"/>
    <mergeCell ref="A18:B18"/>
    <mergeCell ref="D18:E18"/>
    <mergeCell ref="A21:B21"/>
    <mergeCell ref="A23:B23"/>
    <mergeCell ref="B6:D6"/>
    <mergeCell ref="B7:D7"/>
    <mergeCell ref="A8:B8"/>
    <mergeCell ref="A9:B9"/>
    <mergeCell ref="E6:E7"/>
    <mergeCell ref="A6:A7"/>
    <mergeCell ref="A2:B2"/>
    <mergeCell ref="A1:B1"/>
    <mergeCell ref="A4:B4"/>
    <mergeCell ref="A5:B5"/>
    <mergeCell ref="D2:E2"/>
    <mergeCell ref="D5:E5"/>
    <mergeCell ref="D4:E4"/>
  </mergeCells>
  <pageMargins left="0.74803149606299213" right="0.74803149606299213" top="0.98425196850393704" bottom="0.98425196850393704" header="0.51181102362204722" footer="0.51181102362204722"/>
  <pageSetup paperSize="9" scale="90"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24"/>
  <sheetViews>
    <sheetView rightToLeft="1" view="pageBreakPreview" topLeftCell="A4" zoomScaleNormal="100" zoomScaleSheetLayoutView="100" workbookViewId="0">
      <selection activeCell="M18" sqref="M18"/>
    </sheetView>
  </sheetViews>
  <sheetFormatPr defaultColWidth="9.140625" defaultRowHeight="12.75"/>
  <cols>
    <col min="1" max="1" width="20" style="1" customWidth="1"/>
    <col min="2" max="2" width="11.85546875" style="1" customWidth="1"/>
    <col min="3" max="12" width="7.140625" style="1" customWidth="1"/>
    <col min="13" max="13" width="11.140625" style="1" customWidth="1"/>
    <col min="14" max="14" width="9.85546875" style="1" customWidth="1"/>
    <col min="15" max="15" width="18.85546875" style="1" customWidth="1"/>
    <col min="16" max="16384" width="9.140625" style="1"/>
  </cols>
  <sheetData>
    <row r="1" spans="1:15" ht="24" customHeight="1">
      <c r="A1" s="1097" t="s">
        <v>346</v>
      </c>
      <c r="B1" s="1097"/>
      <c r="C1" s="1097"/>
      <c r="D1" s="1097"/>
      <c r="E1" s="1097"/>
      <c r="F1" s="1097"/>
      <c r="G1" s="1097"/>
      <c r="H1" s="1097"/>
      <c r="I1" s="1097"/>
      <c r="J1" s="1097"/>
      <c r="K1" s="1097"/>
      <c r="L1" s="1097"/>
      <c r="M1" s="1097"/>
      <c r="N1" s="1097"/>
      <c r="O1" s="1097"/>
    </row>
    <row r="2" spans="1:15" ht="15.75" customHeight="1">
      <c r="A2" s="1050" t="s">
        <v>345</v>
      </c>
      <c r="B2" s="1050"/>
      <c r="C2" s="1050"/>
      <c r="D2" s="1050"/>
      <c r="E2" s="1050"/>
      <c r="F2" s="1050"/>
      <c r="G2" s="1050"/>
      <c r="H2" s="1050"/>
      <c r="I2" s="1050"/>
      <c r="J2" s="1050"/>
      <c r="K2" s="1050"/>
      <c r="L2" s="1050"/>
      <c r="M2" s="1050"/>
      <c r="N2" s="1050"/>
      <c r="O2" s="1050"/>
    </row>
    <row r="3" spans="1:15" ht="15.75" customHeight="1">
      <c r="A3" s="1050">
        <v>2019</v>
      </c>
      <c r="B3" s="1050"/>
      <c r="C3" s="1050"/>
      <c r="D3" s="1050"/>
      <c r="E3" s="1050"/>
      <c r="F3" s="1050"/>
      <c r="G3" s="1050"/>
      <c r="H3" s="1050"/>
      <c r="I3" s="1050"/>
      <c r="J3" s="1050"/>
      <c r="K3" s="1050"/>
      <c r="L3" s="1050"/>
      <c r="M3" s="1050"/>
      <c r="N3" s="1050"/>
      <c r="O3" s="1050"/>
    </row>
    <row r="4" spans="1:15" ht="18.75" customHeight="1">
      <c r="A4" s="1050" t="s">
        <v>52</v>
      </c>
      <c r="B4" s="1050"/>
      <c r="C4" s="1050"/>
      <c r="D4" s="1050"/>
      <c r="E4" s="1050"/>
      <c r="F4" s="1050"/>
      <c r="G4" s="1050"/>
      <c r="H4" s="1050"/>
      <c r="I4" s="1050"/>
      <c r="J4" s="1050"/>
      <c r="K4" s="1050"/>
      <c r="L4" s="1050"/>
      <c r="M4" s="1050"/>
      <c r="N4" s="1050"/>
      <c r="O4" s="1050"/>
    </row>
    <row r="5" spans="1:15" ht="18.75" customHeight="1">
      <c r="A5" s="372"/>
      <c r="B5" s="372"/>
      <c r="C5" s="372"/>
      <c r="D5" s="372"/>
      <c r="E5" s="372"/>
      <c r="F5" s="372"/>
      <c r="G5" s="372"/>
      <c r="H5" s="372"/>
      <c r="I5" s="372"/>
      <c r="J5" s="372"/>
      <c r="K5" s="372"/>
      <c r="L5" s="372"/>
      <c r="M5" s="372"/>
      <c r="N5" s="372"/>
      <c r="O5" s="372"/>
    </row>
    <row r="6" spans="1:15" s="31" customFormat="1" ht="16.5">
      <c r="A6" s="362" t="s">
        <v>500</v>
      </c>
      <c r="B6" s="363"/>
      <c r="C6" s="363"/>
      <c r="D6" s="363"/>
      <c r="E6" s="363"/>
      <c r="F6" s="363"/>
      <c r="G6" s="363"/>
      <c r="H6" s="363"/>
      <c r="I6" s="363"/>
      <c r="J6" s="363"/>
      <c r="K6" s="363"/>
      <c r="L6" s="363"/>
      <c r="M6" s="364"/>
      <c r="N6" s="369"/>
      <c r="O6" s="369" t="s">
        <v>501</v>
      </c>
    </row>
    <row r="7" spans="1:15" ht="27.75" customHeight="1" thickBot="1">
      <c r="A7" s="1174" t="s">
        <v>656</v>
      </c>
      <c r="B7" s="1176" t="s">
        <v>553</v>
      </c>
      <c r="C7" s="1177"/>
      <c r="D7" s="1177"/>
      <c r="E7" s="1177"/>
      <c r="F7" s="1177"/>
      <c r="G7" s="1177"/>
      <c r="H7" s="1177"/>
      <c r="I7" s="1177"/>
      <c r="J7" s="1177"/>
      <c r="K7" s="1177"/>
      <c r="L7" s="1177"/>
      <c r="M7" s="1177"/>
      <c r="N7" s="1177"/>
      <c r="O7" s="1178" t="s">
        <v>344</v>
      </c>
    </row>
    <row r="8" spans="1:15" ht="42.75" customHeight="1">
      <c r="A8" s="1175"/>
      <c r="B8" s="902" t="s">
        <v>654</v>
      </c>
      <c r="C8" s="903">
        <v>-1</v>
      </c>
      <c r="D8" s="903">
        <v>1</v>
      </c>
      <c r="E8" s="903">
        <v>2</v>
      </c>
      <c r="F8" s="903">
        <v>3</v>
      </c>
      <c r="G8" s="903">
        <v>4</v>
      </c>
      <c r="H8" s="903" t="s">
        <v>1277</v>
      </c>
      <c r="I8" s="903" t="s">
        <v>1278</v>
      </c>
      <c r="J8" s="903" t="s">
        <v>1279</v>
      </c>
      <c r="K8" s="903" t="s">
        <v>1262</v>
      </c>
      <c r="L8" s="903" t="s">
        <v>441</v>
      </c>
      <c r="M8" s="332" t="s">
        <v>655</v>
      </c>
      <c r="N8" s="332" t="s">
        <v>116</v>
      </c>
      <c r="O8" s="1179"/>
    </row>
    <row r="9" spans="1:15" ht="16.5" thickBot="1">
      <c r="A9" s="23" t="s">
        <v>437</v>
      </c>
      <c r="B9" s="22">
        <v>0</v>
      </c>
      <c r="C9" s="22">
        <v>0</v>
      </c>
      <c r="D9" s="22">
        <v>0</v>
      </c>
      <c r="E9" s="22">
        <v>0</v>
      </c>
      <c r="F9" s="22">
        <v>0</v>
      </c>
      <c r="G9" s="22">
        <v>0</v>
      </c>
      <c r="H9" s="22">
        <v>0</v>
      </c>
      <c r="I9" s="22">
        <v>0</v>
      </c>
      <c r="J9" s="22">
        <v>0</v>
      </c>
      <c r="K9" s="22">
        <v>0</v>
      </c>
      <c r="L9" s="22">
        <v>0</v>
      </c>
      <c r="M9" s="22">
        <v>0</v>
      </c>
      <c r="N9" s="55">
        <f>SUM(Table_Default__XLS_TAB_29_2[[#This Row],[B_CONS_CNT]:[NOT_STATED]])</f>
        <v>0</v>
      </c>
      <c r="O9" s="905" t="s">
        <v>437</v>
      </c>
    </row>
    <row r="10" spans="1:15" ht="16.5" thickBot="1">
      <c r="A10" s="23" t="s">
        <v>128</v>
      </c>
      <c r="B10" s="22">
        <v>11</v>
      </c>
      <c r="C10" s="22">
        <v>5</v>
      </c>
      <c r="D10" s="22">
        <v>1</v>
      </c>
      <c r="E10" s="22">
        <v>3</v>
      </c>
      <c r="F10" s="22">
        <v>1</v>
      </c>
      <c r="G10" s="22">
        <v>1</v>
      </c>
      <c r="H10" s="22">
        <v>0</v>
      </c>
      <c r="I10" s="22">
        <v>0</v>
      </c>
      <c r="J10" s="22">
        <v>0</v>
      </c>
      <c r="K10" s="22">
        <v>0</v>
      </c>
      <c r="L10" s="22">
        <v>0</v>
      </c>
      <c r="M10" s="22">
        <v>0</v>
      </c>
      <c r="N10" s="55">
        <f>SUM(Table_Default__XLS_TAB_29_2[[#This Row],[B_CONS_CNT]:[NOT_STATED]])</f>
        <v>22</v>
      </c>
      <c r="O10" s="905" t="s">
        <v>128</v>
      </c>
    </row>
    <row r="11" spans="1:15" ht="16.5" thickBot="1">
      <c r="A11" s="23" t="s">
        <v>127</v>
      </c>
      <c r="B11" s="22">
        <v>23</v>
      </c>
      <c r="C11" s="22">
        <v>25</v>
      </c>
      <c r="D11" s="22">
        <v>12</v>
      </c>
      <c r="E11" s="22">
        <v>10</v>
      </c>
      <c r="F11" s="22">
        <v>4</v>
      </c>
      <c r="G11" s="22">
        <v>4</v>
      </c>
      <c r="H11" s="22">
        <v>6</v>
      </c>
      <c r="I11" s="22">
        <v>0</v>
      </c>
      <c r="J11" s="22">
        <v>0</v>
      </c>
      <c r="K11" s="22">
        <v>0</v>
      </c>
      <c r="L11" s="22">
        <v>0</v>
      </c>
      <c r="M11" s="22">
        <v>0</v>
      </c>
      <c r="N11" s="55">
        <f>SUM(Table_Default__XLS_TAB_29_2[[#This Row],[B_CONS_CNT]:[NOT_STATED]])</f>
        <v>84</v>
      </c>
      <c r="O11" s="905" t="s">
        <v>127</v>
      </c>
    </row>
    <row r="12" spans="1:15" ht="16.5" thickBot="1">
      <c r="A12" s="23" t="s">
        <v>126</v>
      </c>
      <c r="B12" s="22">
        <v>20</v>
      </c>
      <c r="C12" s="22">
        <v>51</v>
      </c>
      <c r="D12" s="22">
        <v>6</v>
      </c>
      <c r="E12" s="22">
        <v>9</v>
      </c>
      <c r="F12" s="22">
        <v>9</v>
      </c>
      <c r="G12" s="22">
        <v>4</v>
      </c>
      <c r="H12" s="22">
        <v>18</v>
      </c>
      <c r="I12" s="22">
        <v>3</v>
      </c>
      <c r="J12" s="22">
        <v>0</v>
      </c>
      <c r="K12" s="22">
        <v>0</v>
      </c>
      <c r="L12" s="22">
        <v>0</v>
      </c>
      <c r="M12" s="22">
        <v>0</v>
      </c>
      <c r="N12" s="55">
        <f>SUM(Table_Default__XLS_TAB_29_2[[#This Row],[B_CONS_CNT]:[NOT_STATED]])</f>
        <v>120</v>
      </c>
      <c r="O12" s="905" t="s">
        <v>126</v>
      </c>
    </row>
    <row r="13" spans="1:15" ht="16.5" thickBot="1">
      <c r="A13" s="23" t="s">
        <v>125</v>
      </c>
      <c r="B13" s="22">
        <v>15</v>
      </c>
      <c r="C13" s="22">
        <v>81</v>
      </c>
      <c r="D13" s="22">
        <v>9</v>
      </c>
      <c r="E13" s="22">
        <v>6</v>
      </c>
      <c r="F13" s="22">
        <v>6</v>
      </c>
      <c r="G13" s="22">
        <v>7</v>
      </c>
      <c r="H13" s="22">
        <v>28</v>
      </c>
      <c r="I13" s="22">
        <v>12</v>
      </c>
      <c r="J13" s="22">
        <v>2</v>
      </c>
      <c r="K13" s="22">
        <v>0</v>
      </c>
      <c r="L13" s="22">
        <v>0</v>
      </c>
      <c r="M13" s="22">
        <v>0</v>
      </c>
      <c r="N13" s="55">
        <f>SUM(Table_Default__XLS_TAB_29_2[[#This Row],[B_CONS_CNT]:[NOT_STATED]])</f>
        <v>166</v>
      </c>
      <c r="O13" s="905" t="s">
        <v>125</v>
      </c>
    </row>
    <row r="14" spans="1:15" ht="16.5" thickBot="1">
      <c r="A14" s="23" t="s">
        <v>124</v>
      </c>
      <c r="B14" s="22">
        <v>4</v>
      </c>
      <c r="C14" s="22">
        <v>50</v>
      </c>
      <c r="D14" s="22">
        <v>6</v>
      </c>
      <c r="E14" s="22">
        <v>5</v>
      </c>
      <c r="F14" s="22">
        <v>2</v>
      </c>
      <c r="G14" s="22">
        <v>4</v>
      </c>
      <c r="H14" s="22">
        <v>14</v>
      </c>
      <c r="I14" s="22">
        <v>11</v>
      </c>
      <c r="J14" s="22">
        <v>8</v>
      </c>
      <c r="K14" s="22">
        <v>1</v>
      </c>
      <c r="L14" s="22">
        <v>0</v>
      </c>
      <c r="M14" s="22">
        <v>1</v>
      </c>
      <c r="N14" s="55">
        <f>SUM(Table_Default__XLS_TAB_29_2[[#This Row],[B_CONS_CNT]:[NOT_STATED]])</f>
        <v>106</v>
      </c>
      <c r="O14" s="905" t="s">
        <v>124</v>
      </c>
    </row>
    <row r="15" spans="1:15" ht="16.5" thickBot="1">
      <c r="A15" s="23" t="s">
        <v>123</v>
      </c>
      <c r="B15" s="22">
        <v>2</v>
      </c>
      <c r="C15" s="22">
        <v>51</v>
      </c>
      <c r="D15" s="22">
        <v>6</v>
      </c>
      <c r="E15" s="22">
        <v>1</v>
      </c>
      <c r="F15" s="22">
        <v>1</v>
      </c>
      <c r="G15" s="22">
        <v>1</v>
      </c>
      <c r="H15" s="22">
        <v>6</v>
      </c>
      <c r="I15" s="22">
        <v>9</v>
      </c>
      <c r="J15" s="22">
        <v>10</v>
      </c>
      <c r="K15" s="22">
        <v>3</v>
      </c>
      <c r="L15" s="22">
        <v>3</v>
      </c>
      <c r="M15" s="22">
        <v>0</v>
      </c>
      <c r="N15" s="55">
        <f>SUM(Table_Default__XLS_TAB_29_2[[#This Row],[B_CONS_CNT]:[NOT_STATED]])</f>
        <v>93</v>
      </c>
      <c r="O15" s="905" t="s">
        <v>123</v>
      </c>
    </row>
    <row r="16" spans="1:15" ht="16.5" thickBot="1">
      <c r="A16" s="23" t="s">
        <v>122</v>
      </c>
      <c r="B16" s="22">
        <v>1</v>
      </c>
      <c r="C16" s="22">
        <v>23</v>
      </c>
      <c r="D16" s="22">
        <v>1</v>
      </c>
      <c r="E16" s="22">
        <v>0</v>
      </c>
      <c r="F16" s="22">
        <v>2</v>
      </c>
      <c r="G16" s="22">
        <v>2</v>
      </c>
      <c r="H16" s="22">
        <v>10</v>
      </c>
      <c r="I16" s="22">
        <v>3</v>
      </c>
      <c r="J16" s="22">
        <v>2</v>
      </c>
      <c r="K16" s="22">
        <v>1</v>
      </c>
      <c r="L16" s="22">
        <v>4</v>
      </c>
      <c r="M16" s="22">
        <v>0</v>
      </c>
      <c r="N16" s="55">
        <f>SUM(Table_Default__XLS_TAB_29_2[[#This Row],[B_CONS_CNT]:[NOT_STATED]])</f>
        <v>49</v>
      </c>
      <c r="O16" s="905" t="s">
        <v>122</v>
      </c>
    </row>
    <row r="17" spans="1:15" ht="16.5" thickBot="1">
      <c r="A17" s="23" t="s">
        <v>121</v>
      </c>
      <c r="B17" s="22">
        <v>0</v>
      </c>
      <c r="C17" s="22">
        <v>17</v>
      </c>
      <c r="D17" s="22">
        <v>1</v>
      </c>
      <c r="E17" s="22">
        <v>1</v>
      </c>
      <c r="F17" s="22">
        <v>0</v>
      </c>
      <c r="G17" s="22">
        <v>1</v>
      </c>
      <c r="H17" s="22">
        <v>3</v>
      </c>
      <c r="I17" s="22">
        <v>1</v>
      </c>
      <c r="J17" s="22">
        <v>3</v>
      </c>
      <c r="K17" s="22">
        <v>2</v>
      </c>
      <c r="L17" s="22">
        <v>5</v>
      </c>
      <c r="M17" s="22">
        <v>0</v>
      </c>
      <c r="N17" s="55">
        <f>SUM(Table_Default__XLS_TAB_29_2[[#This Row],[B_CONS_CNT]:[NOT_STATED]])</f>
        <v>34</v>
      </c>
      <c r="O17" s="905" t="s">
        <v>121</v>
      </c>
    </row>
    <row r="18" spans="1:15" ht="16.5" thickBot="1">
      <c r="A18" s="23" t="s">
        <v>120</v>
      </c>
      <c r="B18" s="22">
        <v>0</v>
      </c>
      <c r="C18" s="22">
        <v>9</v>
      </c>
      <c r="D18" s="22">
        <v>0</v>
      </c>
      <c r="E18" s="22">
        <v>0</v>
      </c>
      <c r="F18" s="22">
        <v>0</v>
      </c>
      <c r="G18" s="22">
        <v>0</v>
      </c>
      <c r="H18" s="22">
        <v>1</v>
      </c>
      <c r="I18" s="22">
        <v>1</v>
      </c>
      <c r="J18" s="22">
        <v>2</v>
      </c>
      <c r="K18" s="22">
        <v>0</v>
      </c>
      <c r="L18" s="22">
        <v>1</v>
      </c>
      <c r="M18" s="22">
        <v>0</v>
      </c>
      <c r="N18" s="55">
        <f>SUM(Table_Default__XLS_TAB_29_2[[#This Row],[B_CONS_CNT]:[NOT_STATED]])</f>
        <v>14</v>
      </c>
      <c r="O18" s="905" t="s">
        <v>120</v>
      </c>
    </row>
    <row r="19" spans="1:15" ht="16.5" thickBot="1">
      <c r="A19" s="23" t="s">
        <v>119</v>
      </c>
      <c r="B19" s="22">
        <v>0</v>
      </c>
      <c r="C19" s="22">
        <v>2</v>
      </c>
      <c r="D19" s="22">
        <v>0</v>
      </c>
      <c r="E19" s="22">
        <v>0</v>
      </c>
      <c r="F19" s="22">
        <v>0</v>
      </c>
      <c r="G19" s="22">
        <v>0</v>
      </c>
      <c r="H19" s="22">
        <v>0</v>
      </c>
      <c r="I19" s="22">
        <v>0</v>
      </c>
      <c r="J19" s="22">
        <v>1</v>
      </c>
      <c r="K19" s="22">
        <v>0</v>
      </c>
      <c r="L19" s="22">
        <v>0</v>
      </c>
      <c r="M19" s="22">
        <v>0</v>
      </c>
      <c r="N19" s="55">
        <f>SUM(Table_Default__XLS_TAB_29_2[[#This Row],[B_CONS_CNT]:[NOT_STATED]])</f>
        <v>3</v>
      </c>
      <c r="O19" s="905" t="s">
        <v>119</v>
      </c>
    </row>
    <row r="20" spans="1:15" ht="16.5" thickBot="1">
      <c r="A20" s="23" t="s">
        <v>118</v>
      </c>
      <c r="B20" s="22">
        <v>0</v>
      </c>
      <c r="C20" s="22">
        <v>0</v>
      </c>
      <c r="D20" s="22">
        <v>0</v>
      </c>
      <c r="E20" s="22">
        <v>0</v>
      </c>
      <c r="F20" s="22">
        <v>0</v>
      </c>
      <c r="G20" s="22">
        <v>0</v>
      </c>
      <c r="H20" s="22">
        <v>0</v>
      </c>
      <c r="I20" s="22">
        <v>0</v>
      </c>
      <c r="J20" s="22">
        <v>0</v>
      </c>
      <c r="K20" s="22">
        <v>0</v>
      </c>
      <c r="L20" s="22">
        <v>2</v>
      </c>
      <c r="M20" s="22">
        <v>0</v>
      </c>
      <c r="N20" s="55">
        <f>SUM(Table_Default__XLS_TAB_29_2[[#This Row],[B_CONS_CNT]:[NOT_STATED]])</f>
        <v>2</v>
      </c>
      <c r="O20" s="905" t="s">
        <v>118</v>
      </c>
    </row>
    <row r="21" spans="1:15" ht="16.5" thickBot="1">
      <c r="A21" s="23" t="s">
        <v>117</v>
      </c>
      <c r="B21" s="22">
        <v>0</v>
      </c>
      <c r="C21" s="22">
        <v>1</v>
      </c>
      <c r="D21" s="22">
        <v>0</v>
      </c>
      <c r="E21" s="22">
        <v>0</v>
      </c>
      <c r="F21" s="22">
        <v>0</v>
      </c>
      <c r="G21" s="22">
        <v>0</v>
      </c>
      <c r="H21" s="22">
        <v>0</v>
      </c>
      <c r="I21" s="22">
        <v>0</v>
      </c>
      <c r="J21" s="22">
        <v>0</v>
      </c>
      <c r="K21" s="22">
        <v>0</v>
      </c>
      <c r="L21" s="22">
        <v>1</v>
      </c>
      <c r="M21" s="22">
        <v>0</v>
      </c>
      <c r="N21" s="55">
        <f>SUM(Table_Default__XLS_TAB_29_2[[#This Row],[B_CONS_CNT]:[NOT_STATED]])</f>
        <v>2</v>
      </c>
      <c r="O21" s="905" t="s">
        <v>117</v>
      </c>
    </row>
    <row r="22" spans="1:15" ht="16.5" thickBot="1">
      <c r="A22" s="904" t="s">
        <v>15</v>
      </c>
      <c r="B22" s="457">
        <v>1</v>
      </c>
      <c r="C22" s="457">
        <v>19</v>
      </c>
      <c r="D22" s="457">
        <v>0</v>
      </c>
      <c r="E22" s="457">
        <v>0</v>
      </c>
      <c r="F22" s="457">
        <v>0</v>
      </c>
      <c r="G22" s="457">
        <v>0</v>
      </c>
      <c r="H22" s="457">
        <v>0</v>
      </c>
      <c r="I22" s="457">
        <v>1</v>
      </c>
      <c r="J22" s="457">
        <v>2</v>
      </c>
      <c r="K22" s="457">
        <v>0</v>
      </c>
      <c r="L22" s="457">
        <v>0</v>
      </c>
      <c r="M22" s="457">
        <v>0</v>
      </c>
      <c r="N22" s="55">
        <f>SUM(Table_Default__XLS_TAB_29_2[[#This Row],[B_CONS_CNT]:[NOT_STATED]])</f>
        <v>23</v>
      </c>
      <c r="O22" s="906" t="s">
        <v>16</v>
      </c>
    </row>
    <row r="23" spans="1:15" ht="21" customHeight="1">
      <c r="A23" s="91" t="s">
        <v>17</v>
      </c>
      <c r="B23" s="92">
        <f t="shared" ref="B23:L23" si="0">SUM(B9:B22)</f>
        <v>77</v>
      </c>
      <c r="C23" s="92">
        <f t="shared" si="0"/>
        <v>334</v>
      </c>
      <c r="D23" s="92">
        <f t="shared" si="0"/>
        <v>42</v>
      </c>
      <c r="E23" s="92">
        <f t="shared" si="0"/>
        <v>35</v>
      </c>
      <c r="F23" s="92">
        <f t="shared" si="0"/>
        <v>25</v>
      </c>
      <c r="G23" s="92">
        <f t="shared" si="0"/>
        <v>24</v>
      </c>
      <c r="H23" s="92">
        <f t="shared" si="0"/>
        <v>86</v>
      </c>
      <c r="I23" s="92">
        <f>SUM(I9:I22)</f>
        <v>41</v>
      </c>
      <c r="J23" s="92">
        <f t="shared" si="0"/>
        <v>30</v>
      </c>
      <c r="K23" s="92">
        <f t="shared" si="0"/>
        <v>7</v>
      </c>
      <c r="L23" s="92">
        <f t="shared" si="0"/>
        <v>16</v>
      </c>
      <c r="M23" s="92">
        <f>SUM(M9:M22)</f>
        <v>1</v>
      </c>
      <c r="N23" s="108">
        <f>SUM(N9:N22)</f>
        <v>718</v>
      </c>
      <c r="O23" s="93" t="s">
        <v>56</v>
      </c>
    </row>
    <row r="24" spans="1:15" s="2" customFormat="1" ht="14.25">
      <c r="A24" s="775" t="s">
        <v>343</v>
      </c>
      <c r="O24" s="874" t="s">
        <v>1280</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24"/>
  <sheetViews>
    <sheetView rightToLeft="1" view="pageBreakPreview" topLeftCell="A4" zoomScaleNormal="100" zoomScaleSheetLayoutView="100" workbookViewId="0">
      <selection activeCell="M18" sqref="M18"/>
    </sheetView>
  </sheetViews>
  <sheetFormatPr defaultColWidth="9.140625" defaultRowHeight="12.75"/>
  <cols>
    <col min="1" max="1" width="20" style="1" customWidth="1"/>
    <col min="2" max="2" width="11.85546875" style="1" customWidth="1"/>
    <col min="3" max="12" width="7.140625" style="1" customWidth="1"/>
    <col min="13" max="13" width="11.140625" style="1" customWidth="1"/>
    <col min="14" max="14" width="9.85546875" style="1" customWidth="1"/>
    <col min="15" max="15" width="18.85546875" style="1" customWidth="1"/>
    <col min="16" max="16384" width="9.140625" style="1"/>
  </cols>
  <sheetData>
    <row r="1" spans="1:15" ht="24" customHeight="1">
      <c r="A1" s="1097" t="s">
        <v>346</v>
      </c>
      <c r="B1" s="1097"/>
      <c r="C1" s="1097"/>
      <c r="D1" s="1097"/>
      <c r="E1" s="1097"/>
      <c r="F1" s="1097"/>
      <c r="G1" s="1097"/>
      <c r="H1" s="1097"/>
      <c r="I1" s="1097"/>
      <c r="J1" s="1097"/>
      <c r="K1" s="1097"/>
      <c r="L1" s="1097"/>
      <c r="M1" s="1097"/>
      <c r="N1" s="1097"/>
      <c r="O1" s="1097"/>
    </row>
    <row r="2" spans="1:15" ht="15.75" customHeight="1">
      <c r="A2" s="1050" t="s">
        <v>345</v>
      </c>
      <c r="B2" s="1050"/>
      <c r="C2" s="1050"/>
      <c r="D2" s="1050"/>
      <c r="E2" s="1050"/>
      <c r="F2" s="1050"/>
      <c r="G2" s="1050"/>
      <c r="H2" s="1050"/>
      <c r="I2" s="1050"/>
      <c r="J2" s="1050"/>
      <c r="K2" s="1050"/>
      <c r="L2" s="1050"/>
      <c r="M2" s="1050"/>
      <c r="N2" s="1050"/>
      <c r="O2" s="1050"/>
    </row>
    <row r="3" spans="1:15" ht="15.75" customHeight="1">
      <c r="A3" s="1050">
        <v>2019</v>
      </c>
      <c r="B3" s="1050"/>
      <c r="C3" s="1050"/>
      <c r="D3" s="1050"/>
      <c r="E3" s="1050"/>
      <c r="F3" s="1050"/>
      <c r="G3" s="1050"/>
      <c r="H3" s="1050"/>
      <c r="I3" s="1050"/>
      <c r="J3" s="1050"/>
      <c r="K3" s="1050"/>
      <c r="L3" s="1050"/>
      <c r="M3" s="1050"/>
      <c r="N3" s="1050"/>
      <c r="O3" s="1050"/>
    </row>
    <row r="4" spans="1:15" ht="18.75" customHeight="1">
      <c r="A4" s="1050" t="s">
        <v>1</v>
      </c>
      <c r="B4" s="1050"/>
      <c r="C4" s="1050"/>
      <c r="D4" s="1050"/>
      <c r="E4" s="1050"/>
      <c r="F4" s="1050"/>
      <c r="G4" s="1050"/>
      <c r="H4" s="1050"/>
      <c r="I4" s="1050"/>
      <c r="J4" s="1050"/>
      <c r="K4" s="1050"/>
      <c r="L4" s="1050"/>
      <c r="M4" s="1050"/>
      <c r="N4" s="1050"/>
      <c r="O4" s="1050"/>
    </row>
    <row r="5" spans="1:15" ht="18.75" customHeight="1">
      <c r="A5" s="372"/>
      <c r="B5" s="372"/>
      <c r="C5" s="372"/>
      <c r="D5" s="372"/>
      <c r="E5" s="372"/>
      <c r="F5" s="372"/>
      <c r="G5" s="372"/>
      <c r="H5" s="372"/>
      <c r="I5" s="372"/>
      <c r="J5" s="372"/>
      <c r="K5" s="372"/>
      <c r="L5" s="372"/>
      <c r="M5" s="372"/>
      <c r="N5" s="372"/>
      <c r="O5" s="372"/>
    </row>
    <row r="6" spans="1:15" s="31" customFormat="1" ht="16.5">
      <c r="A6" s="362" t="s">
        <v>498</v>
      </c>
      <c r="B6" s="363"/>
      <c r="C6" s="363"/>
      <c r="D6" s="363"/>
      <c r="E6" s="363"/>
      <c r="F6" s="363"/>
      <c r="G6" s="363"/>
      <c r="H6" s="363"/>
      <c r="I6" s="363"/>
      <c r="J6" s="363"/>
      <c r="K6" s="363"/>
      <c r="L6" s="363"/>
      <c r="M6" s="364"/>
      <c r="N6" s="369"/>
      <c r="O6" s="369" t="s">
        <v>499</v>
      </c>
    </row>
    <row r="7" spans="1:15" ht="27.75" customHeight="1" thickBot="1">
      <c r="A7" s="1174" t="s">
        <v>656</v>
      </c>
      <c r="B7" s="1180" t="s">
        <v>552</v>
      </c>
      <c r="C7" s="1177"/>
      <c r="D7" s="1177"/>
      <c r="E7" s="1177"/>
      <c r="F7" s="1177"/>
      <c r="G7" s="1177"/>
      <c r="H7" s="1177"/>
      <c r="I7" s="1177"/>
      <c r="J7" s="1177"/>
      <c r="K7" s="1177"/>
      <c r="L7" s="1177"/>
      <c r="M7" s="1177"/>
      <c r="N7" s="1177"/>
      <c r="O7" s="1178" t="s">
        <v>344</v>
      </c>
    </row>
    <row r="8" spans="1:15" ht="42.75" customHeight="1">
      <c r="A8" s="1175"/>
      <c r="B8" s="902" t="s">
        <v>654</v>
      </c>
      <c r="C8" s="903">
        <v>-1</v>
      </c>
      <c r="D8" s="903">
        <v>1</v>
      </c>
      <c r="E8" s="903">
        <v>2</v>
      </c>
      <c r="F8" s="903">
        <v>3</v>
      </c>
      <c r="G8" s="903">
        <v>4</v>
      </c>
      <c r="H8" s="903" t="s">
        <v>1277</v>
      </c>
      <c r="I8" s="903" t="s">
        <v>1278</v>
      </c>
      <c r="J8" s="903" t="s">
        <v>1279</v>
      </c>
      <c r="K8" s="903" t="s">
        <v>1262</v>
      </c>
      <c r="L8" s="903" t="s">
        <v>441</v>
      </c>
      <c r="M8" s="332" t="s">
        <v>655</v>
      </c>
      <c r="N8" s="332" t="s">
        <v>116</v>
      </c>
      <c r="O8" s="1179"/>
    </row>
    <row r="9" spans="1:15" ht="16.5" thickBot="1">
      <c r="A9" s="23" t="s">
        <v>437</v>
      </c>
      <c r="B9" s="22">
        <v>0</v>
      </c>
      <c r="C9" s="22">
        <v>0</v>
      </c>
      <c r="D9" s="22">
        <v>0</v>
      </c>
      <c r="E9" s="22">
        <v>1</v>
      </c>
      <c r="F9" s="22">
        <v>0</v>
      </c>
      <c r="G9" s="22">
        <v>0</v>
      </c>
      <c r="H9" s="22">
        <v>0</v>
      </c>
      <c r="I9" s="22">
        <v>0</v>
      </c>
      <c r="J9" s="22">
        <v>0</v>
      </c>
      <c r="K9" s="22">
        <v>0</v>
      </c>
      <c r="L9" s="22">
        <v>0</v>
      </c>
      <c r="M9" s="22">
        <v>0</v>
      </c>
      <c r="N9" s="55">
        <f>SUM(Table_Default__XLS_TAB_29_3[[#This Row],[B_CONS_CNT]:[NOT_STATED]])</f>
        <v>1</v>
      </c>
      <c r="O9" s="905" t="s">
        <v>437</v>
      </c>
    </row>
    <row r="10" spans="1:15" ht="16.5" thickBot="1">
      <c r="A10" s="23" t="s">
        <v>128</v>
      </c>
      <c r="B10" s="22">
        <v>47</v>
      </c>
      <c r="C10" s="22">
        <v>29</v>
      </c>
      <c r="D10" s="22">
        <v>15</v>
      </c>
      <c r="E10" s="22">
        <v>12</v>
      </c>
      <c r="F10" s="22">
        <v>2</v>
      </c>
      <c r="G10" s="22">
        <v>5</v>
      </c>
      <c r="H10" s="22">
        <v>2</v>
      </c>
      <c r="I10" s="22">
        <v>0</v>
      </c>
      <c r="J10" s="22">
        <v>0</v>
      </c>
      <c r="K10" s="22">
        <v>0</v>
      </c>
      <c r="L10" s="22">
        <v>0</v>
      </c>
      <c r="M10" s="22">
        <v>0</v>
      </c>
      <c r="N10" s="55">
        <f>SUM(Table_Default__XLS_TAB_29_3[[#This Row],[B_CONS_CNT]:[NOT_STATED]])</f>
        <v>112</v>
      </c>
      <c r="O10" s="905" t="s">
        <v>128</v>
      </c>
    </row>
    <row r="11" spans="1:15" ht="16.5" thickBot="1">
      <c r="A11" s="23" t="s">
        <v>127</v>
      </c>
      <c r="B11" s="22">
        <v>109</v>
      </c>
      <c r="C11" s="22">
        <v>98</v>
      </c>
      <c r="D11" s="22">
        <v>33</v>
      </c>
      <c r="E11" s="22">
        <v>27</v>
      </c>
      <c r="F11" s="22">
        <v>26</v>
      </c>
      <c r="G11" s="22">
        <v>18</v>
      </c>
      <c r="H11" s="22">
        <v>32</v>
      </c>
      <c r="I11" s="22">
        <v>1</v>
      </c>
      <c r="J11" s="22">
        <v>0</v>
      </c>
      <c r="K11" s="22">
        <v>0</v>
      </c>
      <c r="L11" s="22">
        <v>0</v>
      </c>
      <c r="M11" s="22">
        <v>0</v>
      </c>
      <c r="N11" s="55">
        <f>SUM(Table_Default__XLS_TAB_29_3[[#This Row],[B_CONS_CNT]:[NOT_STATED]])</f>
        <v>344</v>
      </c>
      <c r="O11" s="905" t="s">
        <v>127</v>
      </c>
    </row>
    <row r="12" spans="1:15" ht="16.5" thickBot="1">
      <c r="A12" s="23" t="s">
        <v>126</v>
      </c>
      <c r="B12" s="22">
        <v>49</v>
      </c>
      <c r="C12" s="22">
        <v>141</v>
      </c>
      <c r="D12" s="22">
        <v>21</v>
      </c>
      <c r="E12" s="22">
        <v>18</v>
      </c>
      <c r="F12" s="22">
        <v>17</v>
      </c>
      <c r="G12" s="22">
        <v>10</v>
      </c>
      <c r="H12" s="22">
        <v>58</v>
      </c>
      <c r="I12" s="22">
        <v>15</v>
      </c>
      <c r="J12" s="22">
        <v>1</v>
      </c>
      <c r="K12" s="22">
        <v>0</v>
      </c>
      <c r="L12" s="22">
        <v>0</v>
      </c>
      <c r="M12" s="22">
        <v>0</v>
      </c>
      <c r="N12" s="55">
        <f>SUM(Table_Default__XLS_TAB_29_3[[#This Row],[B_CONS_CNT]:[NOT_STATED]])</f>
        <v>330</v>
      </c>
      <c r="O12" s="905" t="s">
        <v>126</v>
      </c>
    </row>
    <row r="13" spans="1:15" ht="16.5" thickBot="1">
      <c r="A13" s="23" t="s">
        <v>125</v>
      </c>
      <c r="B13" s="22">
        <v>34</v>
      </c>
      <c r="C13" s="22">
        <v>154</v>
      </c>
      <c r="D13" s="22">
        <v>13</v>
      </c>
      <c r="E13" s="22">
        <v>14</v>
      </c>
      <c r="F13" s="22">
        <v>12</v>
      </c>
      <c r="G13" s="22">
        <v>10</v>
      </c>
      <c r="H13" s="22">
        <v>50</v>
      </c>
      <c r="I13" s="22">
        <v>30</v>
      </c>
      <c r="J13" s="22">
        <v>12</v>
      </c>
      <c r="K13" s="22">
        <v>1</v>
      </c>
      <c r="L13" s="22">
        <v>0</v>
      </c>
      <c r="M13" s="22">
        <v>1</v>
      </c>
      <c r="N13" s="55">
        <f>SUM(Table_Default__XLS_TAB_29_3[[#This Row],[B_CONS_CNT]:[NOT_STATED]])</f>
        <v>331</v>
      </c>
      <c r="O13" s="905" t="s">
        <v>125</v>
      </c>
    </row>
    <row r="14" spans="1:15" ht="16.5" thickBot="1">
      <c r="A14" s="23" t="s">
        <v>124</v>
      </c>
      <c r="B14" s="22">
        <v>14</v>
      </c>
      <c r="C14" s="22">
        <v>109</v>
      </c>
      <c r="D14" s="22">
        <v>10</v>
      </c>
      <c r="E14" s="22">
        <v>8</v>
      </c>
      <c r="F14" s="22">
        <v>7</v>
      </c>
      <c r="G14" s="22">
        <v>5</v>
      </c>
      <c r="H14" s="22">
        <v>21</v>
      </c>
      <c r="I14" s="22">
        <v>22</v>
      </c>
      <c r="J14" s="22">
        <v>22</v>
      </c>
      <c r="K14" s="22">
        <v>2</v>
      </c>
      <c r="L14" s="22">
        <v>0</v>
      </c>
      <c r="M14" s="22">
        <v>2</v>
      </c>
      <c r="N14" s="55">
        <f>SUM(Table_Default__XLS_TAB_29_3[[#This Row],[B_CONS_CNT]:[NOT_STATED]])</f>
        <v>222</v>
      </c>
      <c r="O14" s="905" t="s">
        <v>124</v>
      </c>
    </row>
    <row r="15" spans="1:15" ht="16.5" thickBot="1">
      <c r="A15" s="23" t="s">
        <v>123</v>
      </c>
      <c r="B15" s="22">
        <v>10</v>
      </c>
      <c r="C15" s="22">
        <v>111</v>
      </c>
      <c r="D15" s="22">
        <v>9</v>
      </c>
      <c r="E15" s="22">
        <v>4</v>
      </c>
      <c r="F15" s="22">
        <v>2</v>
      </c>
      <c r="G15" s="22">
        <v>3</v>
      </c>
      <c r="H15" s="22">
        <v>7</v>
      </c>
      <c r="I15" s="22">
        <v>12</v>
      </c>
      <c r="J15" s="22">
        <v>16</v>
      </c>
      <c r="K15" s="22">
        <v>8</v>
      </c>
      <c r="L15" s="22">
        <v>5</v>
      </c>
      <c r="M15" s="22">
        <v>0</v>
      </c>
      <c r="N15" s="55">
        <f>SUM(Table_Default__XLS_TAB_29_3[[#This Row],[B_CONS_CNT]:[NOT_STATED]])</f>
        <v>187</v>
      </c>
      <c r="O15" s="905" t="s">
        <v>123</v>
      </c>
    </row>
    <row r="16" spans="1:15" ht="16.5" thickBot="1">
      <c r="A16" s="23" t="s">
        <v>122</v>
      </c>
      <c r="B16" s="22">
        <v>5</v>
      </c>
      <c r="C16" s="22">
        <v>67</v>
      </c>
      <c r="D16" s="22">
        <v>3</v>
      </c>
      <c r="E16" s="22">
        <v>1</v>
      </c>
      <c r="F16" s="22">
        <v>3</v>
      </c>
      <c r="G16" s="22">
        <v>2</v>
      </c>
      <c r="H16" s="22">
        <v>13</v>
      </c>
      <c r="I16" s="22">
        <v>8</v>
      </c>
      <c r="J16" s="22">
        <v>5</v>
      </c>
      <c r="K16" s="22">
        <v>9</v>
      </c>
      <c r="L16" s="22">
        <v>10</v>
      </c>
      <c r="M16" s="22">
        <v>0</v>
      </c>
      <c r="N16" s="55">
        <f>SUM(Table_Default__XLS_TAB_29_3[[#This Row],[B_CONS_CNT]:[NOT_STATED]])</f>
        <v>126</v>
      </c>
      <c r="O16" s="905" t="s">
        <v>122</v>
      </c>
    </row>
    <row r="17" spans="1:15" ht="16.5" thickBot="1">
      <c r="A17" s="23" t="s">
        <v>121</v>
      </c>
      <c r="B17" s="22">
        <v>1</v>
      </c>
      <c r="C17" s="22">
        <v>35</v>
      </c>
      <c r="D17" s="22">
        <v>1</v>
      </c>
      <c r="E17" s="22">
        <v>3</v>
      </c>
      <c r="F17" s="22">
        <v>1</v>
      </c>
      <c r="G17" s="22">
        <v>2</v>
      </c>
      <c r="H17" s="22">
        <v>6</v>
      </c>
      <c r="I17" s="22">
        <v>8</v>
      </c>
      <c r="J17" s="22">
        <v>5</v>
      </c>
      <c r="K17" s="22">
        <v>4</v>
      </c>
      <c r="L17" s="22">
        <v>13</v>
      </c>
      <c r="M17" s="22">
        <v>0</v>
      </c>
      <c r="N17" s="55">
        <f>SUM(Table_Default__XLS_TAB_29_3[[#This Row],[B_CONS_CNT]:[NOT_STATED]])</f>
        <v>79</v>
      </c>
      <c r="O17" s="905" t="s">
        <v>121</v>
      </c>
    </row>
    <row r="18" spans="1:15" ht="16.5" thickBot="1">
      <c r="A18" s="23" t="s">
        <v>120</v>
      </c>
      <c r="B18" s="22">
        <v>2</v>
      </c>
      <c r="C18" s="22">
        <v>32</v>
      </c>
      <c r="D18" s="22">
        <v>0</v>
      </c>
      <c r="E18" s="22">
        <v>0</v>
      </c>
      <c r="F18" s="22">
        <v>0</v>
      </c>
      <c r="G18" s="22">
        <v>0</v>
      </c>
      <c r="H18" s="22">
        <v>1</v>
      </c>
      <c r="I18" s="22">
        <v>2</v>
      </c>
      <c r="J18" s="22">
        <v>3</v>
      </c>
      <c r="K18" s="22">
        <v>1</v>
      </c>
      <c r="L18" s="22">
        <v>3</v>
      </c>
      <c r="M18" s="22">
        <v>0</v>
      </c>
      <c r="N18" s="55">
        <f>SUM(Table_Default__XLS_TAB_29_3[[#This Row],[B_CONS_CNT]:[NOT_STATED]])</f>
        <v>44</v>
      </c>
      <c r="O18" s="905" t="s">
        <v>120</v>
      </c>
    </row>
    <row r="19" spans="1:15" ht="16.5" thickBot="1">
      <c r="A19" s="23" t="s">
        <v>119</v>
      </c>
      <c r="B19" s="22">
        <v>1</v>
      </c>
      <c r="C19" s="22">
        <v>10</v>
      </c>
      <c r="D19" s="22">
        <v>0</v>
      </c>
      <c r="E19" s="22">
        <v>0</v>
      </c>
      <c r="F19" s="22">
        <v>0</v>
      </c>
      <c r="G19" s="22">
        <v>1</v>
      </c>
      <c r="H19" s="22">
        <v>0</v>
      </c>
      <c r="I19" s="22">
        <v>1</v>
      </c>
      <c r="J19" s="22">
        <v>1</v>
      </c>
      <c r="K19" s="22">
        <v>0</v>
      </c>
      <c r="L19" s="22">
        <v>4</v>
      </c>
      <c r="M19" s="22">
        <v>0</v>
      </c>
      <c r="N19" s="55">
        <f>SUM(Table_Default__XLS_TAB_29_3[[#This Row],[B_CONS_CNT]:[NOT_STATED]])</f>
        <v>18</v>
      </c>
      <c r="O19" s="905" t="s">
        <v>119</v>
      </c>
    </row>
    <row r="20" spans="1:15" ht="16.5" thickBot="1">
      <c r="A20" s="23" t="s">
        <v>118</v>
      </c>
      <c r="B20" s="22">
        <v>0</v>
      </c>
      <c r="C20" s="22">
        <v>4</v>
      </c>
      <c r="D20" s="22">
        <v>0</v>
      </c>
      <c r="E20" s="22">
        <v>0</v>
      </c>
      <c r="F20" s="22">
        <v>0</v>
      </c>
      <c r="G20" s="22">
        <v>0</v>
      </c>
      <c r="H20" s="22">
        <v>0</v>
      </c>
      <c r="I20" s="22">
        <v>2</v>
      </c>
      <c r="J20" s="22">
        <v>1</v>
      </c>
      <c r="K20" s="22">
        <v>0</v>
      </c>
      <c r="L20" s="22">
        <v>4</v>
      </c>
      <c r="M20" s="22">
        <v>0</v>
      </c>
      <c r="N20" s="55">
        <f>SUM(Table_Default__XLS_TAB_29_3[[#This Row],[B_CONS_CNT]:[NOT_STATED]])</f>
        <v>11</v>
      </c>
      <c r="O20" s="905" t="s">
        <v>118</v>
      </c>
    </row>
    <row r="21" spans="1:15" ht="16.5" thickBot="1">
      <c r="A21" s="23" t="s">
        <v>117</v>
      </c>
      <c r="B21" s="22">
        <v>0</v>
      </c>
      <c r="C21" s="22">
        <v>3</v>
      </c>
      <c r="D21" s="22">
        <v>0</v>
      </c>
      <c r="E21" s="22">
        <v>0</v>
      </c>
      <c r="F21" s="22">
        <v>0</v>
      </c>
      <c r="G21" s="22">
        <v>0</v>
      </c>
      <c r="H21" s="22">
        <v>0</v>
      </c>
      <c r="I21" s="22">
        <v>0</v>
      </c>
      <c r="J21" s="22">
        <v>0</v>
      </c>
      <c r="K21" s="22">
        <v>0</v>
      </c>
      <c r="L21" s="22">
        <v>2</v>
      </c>
      <c r="M21" s="22">
        <v>0</v>
      </c>
      <c r="N21" s="55">
        <f>SUM(Table_Default__XLS_TAB_29_3[[#This Row],[B_CONS_CNT]:[NOT_STATED]])</f>
        <v>5</v>
      </c>
      <c r="O21" s="905" t="s">
        <v>117</v>
      </c>
    </row>
    <row r="22" spans="1:15" ht="16.5" thickBot="1">
      <c r="A22" s="904" t="s">
        <v>15</v>
      </c>
      <c r="B22" s="457">
        <v>1</v>
      </c>
      <c r="C22" s="457">
        <v>19</v>
      </c>
      <c r="D22" s="457">
        <v>0</v>
      </c>
      <c r="E22" s="457">
        <v>0</v>
      </c>
      <c r="F22" s="457">
        <v>0</v>
      </c>
      <c r="G22" s="457">
        <v>0</v>
      </c>
      <c r="H22" s="457">
        <v>0</v>
      </c>
      <c r="I22" s="457">
        <v>1</v>
      </c>
      <c r="J22" s="457">
        <v>2</v>
      </c>
      <c r="K22" s="457">
        <v>0</v>
      </c>
      <c r="L22" s="457">
        <v>0</v>
      </c>
      <c r="M22" s="457">
        <v>0</v>
      </c>
      <c r="N22" s="55">
        <f>SUM(Table_Default__XLS_TAB_29_3[[#This Row],[B_CONS_CNT]:[NOT_STATED]])</f>
        <v>23</v>
      </c>
      <c r="O22" s="906" t="s">
        <v>16</v>
      </c>
    </row>
    <row r="23" spans="1:15" ht="21" customHeight="1">
      <c r="A23" s="91" t="s">
        <v>17</v>
      </c>
      <c r="B23" s="92">
        <f t="shared" ref="B23:M23" si="0">SUM(B9:B22)</f>
        <v>273</v>
      </c>
      <c r="C23" s="92">
        <f t="shared" si="0"/>
        <v>812</v>
      </c>
      <c r="D23" s="92">
        <f t="shared" si="0"/>
        <v>105</v>
      </c>
      <c r="E23" s="92">
        <f t="shared" si="0"/>
        <v>88</v>
      </c>
      <c r="F23" s="92">
        <f t="shared" si="0"/>
        <v>70</v>
      </c>
      <c r="G23" s="92">
        <f t="shared" si="0"/>
        <v>56</v>
      </c>
      <c r="H23" s="92">
        <f t="shared" si="0"/>
        <v>190</v>
      </c>
      <c r="I23" s="92">
        <f t="shared" si="0"/>
        <v>102</v>
      </c>
      <c r="J23" s="92">
        <f t="shared" si="0"/>
        <v>68</v>
      </c>
      <c r="K23" s="92">
        <f t="shared" si="0"/>
        <v>25</v>
      </c>
      <c r="L23" s="92">
        <f t="shared" si="0"/>
        <v>41</v>
      </c>
      <c r="M23" s="92">
        <f t="shared" si="0"/>
        <v>3</v>
      </c>
      <c r="N23" s="108">
        <f>SUM(N8:N22)</f>
        <v>1833</v>
      </c>
      <c r="O23" s="93" t="s">
        <v>56</v>
      </c>
    </row>
    <row r="24" spans="1:15" ht="14.25">
      <c r="A24" s="775" t="s">
        <v>343</v>
      </c>
      <c r="O24" s="874" t="s">
        <v>1280</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O22"/>
  <sheetViews>
    <sheetView rightToLeft="1" view="pageBreakPreview" topLeftCell="A4" zoomScaleNormal="100" zoomScaleSheetLayoutView="100" workbookViewId="0">
      <selection activeCell="H15" sqref="H15"/>
    </sheetView>
  </sheetViews>
  <sheetFormatPr defaultColWidth="9.140625" defaultRowHeight="12.75"/>
  <cols>
    <col min="1" max="1" width="20" style="1" customWidth="1"/>
    <col min="2" max="2" width="13" style="1" customWidth="1"/>
    <col min="3" max="12" width="7.140625" style="1" customWidth="1"/>
    <col min="13" max="13" width="11.42578125" style="1" customWidth="1"/>
    <col min="14" max="14" width="9.85546875" style="1" customWidth="1"/>
    <col min="15" max="15" width="18.85546875" style="1" customWidth="1"/>
    <col min="16" max="16384" width="9.140625" style="1"/>
  </cols>
  <sheetData>
    <row r="1" spans="1:15" ht="24" customHeight="1">
      <c r="A1" s="1097" t="s">
        <v>349</v>
      </c>
      <c r="B1" s="1097"/>
      <c r="C1" s="1097"/>
      <c r="D1" s="1097"/>
      <c r="E1" s="1097"/>
      <c r="F1" s="1097"/>
      <c r="G1" s="1097"/>
      <c r="H1" s="1097"/>
      <c r="I1" s="1097"/>
      <c r="J1" s="1097"/>
      <c r="K1" s="1097"/>
      <c r="L1" s="1097"/>
      <c r="M1" s="1097"/>
      <c r="N1" s="1097"/>
      <c r="O1" s="1097"/>
    </row>
    <row r="2" spans="1:15" ht="15.75" customHeight="1">
      <c r="A2" s="1050" t="s">
        <v>348</v>
      </c>
      <c r="B2" s="1050"/>
      <c r="C2" s="1050"/>
      <c r="D2" s="1050"/>
      <c r="E2" s="1050"/>
      <c r="F2" s="1050"/>
      <c r="G2" s="1050"/>
      <c r="H2" s="1050"/>
      <c r="I2" s="1050"/>
      <c r="J2" s="1050"/>
      <c r="K2" s="1050"/>
      <c r="L2" s="1050"/>
      <c r="M2" s="1050"/>
      <c r="N2" s="1050"/>
      <c r="O2" s="1050"/>
    </row>
    <row r="3" spans="1:15" ht="15.75" customHeight="1">
      <c r="A3" s="1050">
        <v>2019</v>
      </c>
      <c r="B3" s="1050"/>
      <c r="C3" s="1050"/>
      <c r="D3" s="1050"/>
      <c r="E3" s="1050"/>
      <c r="F3" s="1050"/>
      <c r="G3" s="1050"/>
      <c r="H3" s="1050"/>
      <c r="I3" s="1050"/>
      <c r="J3" s="1050"/>
      <c r="K3" s="1050"/>
      <c r="L3" s="1050"/>
      <c r="M3" s="1050"/>
      <c r="N3" s="1050"/>
      <c r="O3" s="1050"/>
    </row>
    <row r="4" spans="1:15" ht="18.75" customHeight="1">
      <c r="A4" s="1050" t="s">
        <v>172</v>
      </c>
      <c r="B4" s="1050"/>
      <c r="C4" s="1050"/>
      <c r="D4" s="1050"/>
      <c r="E4" s="1050"/>
      <c r="F4" s="1050"/>
      <c r="G4" s="1050"/>
      <c r="H4" s="1050"/>
      <c r="I4" s="1050"/>
      <c r="J4" s="1050"/>
      <c r="K4" s="1050"/>
      <c r="L4" s="1050"/>
      <c r="M4" s="1050"/>
      <c r="N4" s="1050"/>
      <c r="O4" s="1050"/>
    </row>
    <row r="5" spans="1:15" ht="18.75" customHeight="1">
      <c r="A5" s="372"/>
      <c r="B5" s="372"/>
      <c r="C5" s="372"/>
      <c r="D5" s="372"/>
      <c r="E5" s="372"/>
      <c r="F5" s="372"/>
      <c r="G5" s="372"/>
      <c r="H5" s="372"/>
      <c r="I5" s="372"/>
      <c r="J5" s="372"/>
      <c r="K5" s="372"/>
      <c r="L5" s="372"/>
      <c r="M5" s="372"/>
      <c r="N5" s="372"/>
      <c r="O5" s="372"/>
    </row>
    <row r="6" spans="1:15" s="31" customFormat="1" ht="16.5">
      <c r="A6" s="362" t="s">
        <v>467</v>
      </c>
      <c r="B6" s="363"/>
      <c r="C6" s="363"/>
      <c r="D6" s="363"/>
      <c r="E6" s="363"/>
      <c r="F6" s="363"/>
      <c r="G6" s="363"/>
      <c r="H6" s="363"/>
      <c r="I6" s="363"/>
      <c r="J6" s="363"/>
      <c r="K6" s="363"/>
      <c r="L6" s="363"/>
      <c r="M6" s="364"/>
      <c r="N6" s="369"/>
      <c r="O6" s="369" t="s">
        <v>468</v>
      </c>
    </row>
    <row r="7" spans="1:15" ht="27.75" customHeight="1" thickBot="1">
      <c r="A7" s="1174" t="s">
        <v>657</v>
      </c>
      <c r="B7" s="1180" t="s">
        <v>347</v>
      </c>
      <c r="C7" s="1177"/>
      <c r="D7" s="1177"/>
      <c r="E7" s="1177"/>
      <c r="F7" s="1177"/>
      <c r="G7" s="1177"/>
      <c r="H7" s="1177"/>
      <c r="I7" s="1177"/>
      <c r="J7" s="1177"/>
      <c r="K7" s="1177"/>
      <c r="L7" s="1177"/>
      <c r="M7" s="1177"/>
      <c r="N7" s="1177"/>
      <c r="O7" s="1178" t="s">
        <v>314</v>
      </c>
    </row>
    <row r="8" spans="1:15" ht="42.75" customHeight="1">
      <c r="A8" s="1175"/>
      <c r="B8" s="902" t="s">
        <v>654</v>
      </c>
      <c r="C8" s="903">
        <v>-1</v>
      </c>
      <c r="D8" s="903">
        <v>1</v>
      </c>
      <c r="E8" s="903">
        <v>2</v>
      </c>
      <c r="F8" s="903">
        <v>3</v>
      </c>
      <c r="G8" s="903">
        <v>4</v>
      </c>
      <c r="H8" s="903" t="s">
        <v>1277</v>
      </c>
      <c r="I8" s="903" t="s">
        <v>1278</v>
      </c>
      <c r="J8" s="903" t="s">
        <v>1279</v>
      </c>
      <c r="K8" s="903" t="s">
        <v>1262</v>
      </c>
      <c r="L8" s="903" t="s">
        <v>441</v>
      </c>
      <c r="M8" s="332" t="s">
        <v>655</v>
      </c>
      <c r="N8" s="332" t="s">
        <v>116</v>
      </c>
      <c r="O8" s="1179"/>
    </row>
    <row r="9" spans="1:15" ht="19.5" customHeight="1" thickBot="1">
      <c r="A9" s="23" t="s">
        <v>437</v>
      </c>
      <c r="B9" s="22">
        <v>1</v>
      </c>
      <c r="C9" s="22">
        <v>0</v>
      </c>
      <c r="D9" s="22">
        <v>1</v>
      </c>
      <c r="E9" s="22">
        <v>2</v>
      </c>
      <c r="F9" s="22">
        <v>0</v>
      </c>
      <c r="G9" s="22">
        <v>0</v>
      </c>
      <c r="H9" s="22">
        <v>0</v>
      </c>
      <c r="I9" s="22">
        <v>0</v>
      </c>
      <c r="J9" s="22">
        <v>0</v>
      </c>
      <c r="K9" s="22">
        <v>0</v>
      </c>
      <c r="L9" s="22">
        <v>0</v>
      </c>
      <c r="M9" s="22">
        <v>0</v>
      </c>
      <c r="N9" s="55">
        <f>SUM(Table_Default__XLS_TAB_30_347[[#This Row],[B_CONS_CNT]:[NOT_STATED]])</f>
        <v>4</v>
      </c>
      <c r="O9" s="905" t="s">
        <v>437</v>
      </c>
    </row>
    <row r="10" spans="1:15" ht="19.5" customHeight="1" thickBot="1">
      <c r="A10" s="112" t="s">
        <v>128</v>
      </c>
      <c r="B10" s="22">
        <v>48</v>
      </c>
      <c r="C10" s="22">
        <v>28</v>
      </c>
      <c r="D10" s="22">
        <v>16</v>
      </c>
      <c r="E10" s="22">
        <v>9</v>
      </c>
      <c r="F10" s="22">
        <v>3</v>
      </c>
      <c r="G10" s="22">
        <v>2</v>
      </c>
      <c r="H10" s="22">
        <v>3</v>
      </c>
      <c r="I10" s="22">
        <v>0</v>
      </c>
      <c r="J10" s="22">
        <v>0</v>
      </c>
      <c r="K10" s="22">
        <v>0</v>
      </c>
      <c r="L10" s="22">
        <v>0</v>
      </c>
      <c r="M10" s="22">
        <v>0</v>
      </c>
      <c r="N10" s="55">
        <f>SUM(Table_Default__XLS_TAB_30_347[[#This Row],[B_CONS_CNT]:[NOT_STATED]])</f>
        <v>109</v>
      </c>
      <c r="O10" s="905" t="s">
        <v>128</v>
      </c>
    </row>
    <row r="11" spans="1:15" ht="19.5" customHeight="1" thickBot="1">
      <c r="A11" s="112" t="s">
        <v>127</v>
      </c>
      <c r="B11" s="22">
        <v>76</v>
      </c>
      <c r="C11" s="22">
        <v>75</v>
      </c>
      <c r="D11" s="22">
        <v>18</v>
      </c>
      <c r="E11" s="22">
        <v>7</v>
      </c>
      <c r="F11" s="22">
        <v>15</v>
      </c>
      <c r="G11" s="22">
        <v>14</v>
      </c>
      <c r="H11" s="22">
        <v>29</v>
      </c>
      <c r="I11" s="22">
        <v>1</v>
      </c>
      <c r="J11" s="22">
        <v>0</v>
      </c>
      <c r="K11" s="22">
        <v>0</v>
      </c>
      <c r="L11" s="22">
        <v>0</v>
      </c>
      <c r="M11" s="22">
        <v>0</v>
      </c>
      <c r="N11" s="55">
        <f>SUM(Table_Default__XLS_TAB_30_347[[#This Row],[B_CONS_CNT]:[NOT_STATED]])</f>
        <v>235</v>
      </c>
      <c r="O11" s="905" t="s">
        <v>127</v>
      </c>
    </row>
    <row r="12" spans="1:15" ht="19.5" customHeight="1" thickBot="1">
      <c r="A12" s="112" t="s">
        <v>126</v>
      </c>
      <c r="B12" s="22">
        <v>30</v>
      </c>
      <c r="C12" s="22">
        <v>89</v>
      </c>
      <c r="D12" s="22">
        <v>12</v>
      </c>
      <c r="E12" s="22">
        <v>10</v>
      </c>
      <c r="F12" s="22">
        <v>10</v>
      </c>
      <c r="G12" s="22">
        <v>5</v>
      </c>
      <c r="H12" s="22">
        <v>28</v>
      </c>
      <c r="I12" s="22">
        <v>20</v>
      </c>
      <c r="J12" s="22">
        <v>2</v>
      </c>
      <c r="K12" s="22">
        <v>0</v>
      </c>
      <c r="L12" s="22">
        <v>0</v>
      </c>
      <c r="M12" s="22">
        <v>0</v>
      </c>
      <c r="N12" s="55">
        <f>SUM(Table_Default__XLS_TAB_30_347[[#This Row],[B_CONS_CNT]:[NOT_STATED]])</f>
        <v>206</v>
      </c>
      <c r="O12" s="905" t="s">
        <v>126</v>
      </c>
    </row>
    <row r="13" spans="1:15" ht="19.5" customHeight="1" thickBot="1">
      <c r="A13" s="112" t="s">
        <v>125</v>
      </c>
      <c r="B13" s="22">
        <v>18</v>
      </c>
      <c r="C13" s="22">
        <v>57</v>
      </c>
      <c r="D13" s="22">
        <v>4</v>
      </c>
      <c r="E13" s="22">
        <v>3</v>
      </c>
      <c r="F13" s="22">
        <v>5</v>
      </c>
      <c r="G13" s="22">
        <v>2</v>
      </c>
      <c r="H13" s="22">
        <v>16</v>
      </c>
      <c r="I13" s="22">
        <v>16</v>
      </c>
      <c r="J13" s="22">
        <v>13</v>
      </c>
      <c r="K13" s="22">
        <v>0</v>
      </c>
      <c r="L13" s="22">
        <v>0</v>
      </c>
      <c r="M13" s="22">
        <v>1</v>
      </c>
      <c r="N13" s="55">
        <f>SUM(Table_Default__XLS_TAB_30_347[[#This Row],[B_CONS_CNT]:[NOT_STATED]])</f>
        <v>135</v>
      </c>
      <c r="O13" s="905" t="s">
        <v>125</v>
      </c>
    </row>
    <row r="14" spans="1:15" ht="19.5" customHeight="1" thickBot="1">
      <c r="A14" s="112" t="s">
        <v>124</v>
      </c>
      <c r="B14" s="22">
        <v>5</v>
      </c>
      <c r="C14" s="22">
        <v>66</v>
      </c>
      <c r="D14" s="22">
        <v>3</v>
      </c>
      <c r="E14" s="22">
        <v>1</v>
      </c>
      <c r="F14" s="22">
        <v>0</v>
      </c>
      <c r="G14" s="22">
        <v>0</v>
      </c>
      <c r="H14" s="22">
        <v>8</v>
      </c>
      <c r="I14" s="22">
        <v>7</v>
      </c>
      <c r="J14" s="22">
        <v>12</v>
      </c>
      <c r="K14" s="22">
        <v>3</v>
      </c>
      <c r="L14" s="22">
        <v>2</v>
      </c>
      <c r="M14" s="22">
        <v>0</v>
      </c>
      <c r="N14" s="55">
        <f>SUM(Table_Default__XLS_TAB_30_347[[#This Row],[B_CONS_CNT]:[NOT_STATED]])</f>
        <v>107</v>
      </c>
      <c r="O14" s="905" t="s">
        <v>124</v>
      </c>
    </row>
    <row r="15" spans="1:15" ht="19.5" customHeight="1" thickBot="1">
      <c r="A15" s="112" t="s">
        <v>123</v>
      </c>
      <c r="B15" s="22">
        <v>2</v>
      </c>
      <c r="C15" s="22">
        <v>51</v>
      </c>
      <c r="D15" s="22">
        <v>2</v>
      </c>
      <c r="E15" s="22">
        <v>3</v>
      </c>
      <c r="F15" s="22">
        <v>2</v>
      </c>
      <c r="G15" s="22">
        <v>0</v>
      </c>
      <c r="H15" s="22">
        <v>4</v>
      </c>
      <c r="I15" s="22">
        <v>8</v>
      </c>
      <c r="J15" s="22">
        <v>3</v>
      </c>
      <c r="K15" s="22">
        <v>9</v>
      </c>
      <c r="L15" s="22">
        <v>4</v>
      </c>
      <c r="M15" s="22">
        <v>0</v>
      </c>
      <c r="N15" s="55">
        <f>SUM(Table_Default__XLS_TAB_30_347[[#This Row],[B_CONS_CNT]:[NOT_STATED]])</f>
        <v>88</v>
      </c>
      <c r="O15" s="905" t="s">
        <v>123</v>
      </c>
    </row>
    <row r="16" spans="1:15" ht="19.5" customHeight="1" thickBot="1">
      <c r="A16" s="112" t="s">
        <v>122</v>
      </c>
      <c r="B16" s="22">
        <v>0</v>
      </c>
      <c r="C16" s="22">
        <v>37</v>
      </c>
      <c r="D16" s="22">
        <v>0</v>
      </c>
      <c r="E16" s="22">
        <v>2</v>
      </c>
      <c r="F16" s="22">
        <v>0</v>
      </c>
      <c r="G16" s="22">
        <v>1</v>
      </c>
      <c r="H16" s="22">
        <v>1</v>
      </c>
      <c r="I16" s="22">
        <v>4</v>
      </c>
      <c r="J16" s="22">
        <v>1</v>
      </c>
      <c r="K16" s="22">
        <v>4</v>
      </c>
      <c r="L16" s="22">
        <v>10</v>
      </c>
      <c r="M16" s="22">
        <v>0</v>
      </c>
      <c r="N16" s="55">
        <f>SUM(Table_Default__XLS_TAB_30_347[[#This Row],[B_CONS_CNT]:[NOT_STATED]])</f>
        <v>60</v>
      </c>
      <c r="O16" s="905" t="s">
        <v>122</v>
      </c>
    </row>
    <row r="17" spans="1:15" ht="19.5" customHeight="1" thickBot="1">
      <c r="A17" s="112" t="s">
        <v>121</v>
      </c>
      <c r="B17" s="22">
        <v>3</v>
      </c>
      <c r="C17" s="22">
        <v>17</v>
      </c>
      <c r="D17" s="22">
        <v>0</v>
      </c>
      <c r="E17" s="22">
        <v>0</v>
      </c>
      <c r="F17" s="22">
        <v>1</v>
      </c>
      <c r="G17" s="22">
        <v>0</v>
      </c>
      <c r="H17" s="22">
        <v>0</v>
      </c>
      <c r="I17" s="22">
        <v>2</v>
      </c>
      <c r="J17" s="22">
        <v>1</v>
      </c>
      <c r="K17" s="22">
        <v>2</v>
      </c>
      <c r="L17" s="22">
        <v>5</v>
      </c>
      <c r="M17" s="22">
        <v>1</v>
      </c>
      <c r="N17" s="55">
        <f>SUM(Table_Default__XLS_TAB_30_347[[#This Row],[B_CONS_CNT]:[NOT_STATED]])</f>
        <v>32</v>
      </c>
      <c r="O17" s="905" t="s">
        <v>121</v>
      </c>
    </row>
    <row r="18" spans="1:15" ht="19.5" customHeight="1" thickBot="1">
      <c r="A18" s="112" t="s">
        <v>133</v>
      </c>
      <c r="B18" s="22">
        <v>0</v>
      </c>
      <c r="C18" s="22">
        <v>5</v>
      </c>
      <c r="D18" s="22">
        <v>0</v>
      </c>
      <c r="E18" s="22">
        <v>0</v>
      </c>
      <c r="F18" s="22">
        <v>0</v>
      </c>
      <c r="G18" s="22">
        <v>0</v>
      </c>
      <c r="H18" s="22">
        <v>0</v>
      </c>
      <c r="I18" s="22">
        <v>2</v>
      </c>
      <c r="J18" s="22">
        <v>2</v>
      </c>
      <c r="K18" s="22">
        <v>0</v>
      </c>
      <c r="L18" s="22">
        <v>6</v>
      </c>
      <c r="M18" s="22">
        <v>1</v>
      </c>
      <c r="N18" s="55">
        <f>SUM(Table_Default__XLS_TAB_30_347[[#This Row],[B_CONS_CNT]:[NOT_STATED]])</f>
        <v>16</v>
      </c>
      <c r="O18" s="905" t="s">
        <v>133</v>
      </c>
    </row>
    <row r="19" spans="1:15" ht="19.5" customHeight="1" thickBot="1">
      <c r="A19" s="252" t="s">
        <v>15</v>
      </c>
      <c r="B19" s="860">
        <v>0</v>
      </c>
      <c r="C19" s="860">
        <v>0</v>
      </c>
      <c r="D19" s="860">
        <v>0</v>
      </c>
      <c r="E19" s="860">
        <v>0</v>
      </c>
      <c r="F19" s="860">
        <v>0</v>
      </c>
      <c r="G19" s="860">
        <v>0</v>
      </c>
      <c r="H19" s="860">
        <v>0</v>
      </c>
      <c r="I19" s="860">
        <v>0</v>
      </c>
      <c r="J19" s="860">
        <v>0</v>
      </c>
      <c r="K19" s="860">
        <v>0</v>
      </c>
      <c r="L19" s="860">
        <v>0</v>
      </c>
      <c r="M19" s="860">
        <v>0</v>
      </c>
      <c r="N19" s="55">
        <f>SUM(Table_Default__XLS_TAB_30_347[[#This Row],[B_CONS_CNT]:[NOT_STATED]])</f>
        <v>0</v>
      </c>
      <c r="O19" s="977" t="s">
        <v>16</v>
      </c>
    </row>
    <row r="20" spans="1:15" ht="19.5" customHeight="1">
      <c r="A20" s="113" t="s">
        <v>17</v>
      </c>
      <c r="B20" s="114">
        <f t="shared" ref="B20:N20" si="0">SUM(B9:B19)</f>
        <v>183</v>
      </c>
      <c r="C20" s="114">
        <f t="shared" si="0"/>
        <v>425</v>
      </c>
      <c r="D20" s="114">
        <f t="shared" si="0"/>
        <v>56</v>
      </c>
      <c r="E20" s="114">
        <f t="shared" si="0"/>
        <v>37</v>
      </c>
      <c r="F20" s="114">
        <f t="shared" si="0"/>
        <v>36</v>
      </c>
      <c r="G20" s="114">
        <f t="shared" si="0"/>
        <v>24</v>
      </c>
      <c r="H20" s="114">
        <f t="shared" si="0"/>
        <v>89</v>
      </c>
      <c r="I20" s="114">
        <f t="shared" si="0"/>
        <v>60</v>
      </c>
      <c r="J20" s="114">
        <f t="shared" si="0"/>
        <v>34</v>
      </c>
      <c r="K20" s="114">
        <f t="shared" si="0"/>
        <v>18</v>
      </c>
      <c r="L20" s="114">
        <f t="shared" si="0"/>
        <v>27</v>
      </c>
      <c r="M20" s="114">
        <f t="shared" si="0"/>
        <v>3</v>
      </c>
      <c r="N20" s="115">
        <f t="shared" si="0"/>
        <v>992</v>
      </c>
      <c r="O20" s="116" t="s">
        <v>56</v>
      </c>
    </row>
    <row r="21" spans="1:15" s="2" customFormat="1" ht="14.25">
      <c r="A21" s="898" t="s">
        <v>343</v>
      </c>
      <c r="O21" s="907" t="s">
        <v>1280</v>
      </c>
    </row>
    <row r="22" spans="1:15">
      <c r="A22" s="80"/>
      <c r="O22" s="65"/>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22"/>
  <sheetViews>
    <sheetView rightToLeft="1" view="pageBreakPreview" topLeftCell="A4" zoomScaleNormal="100" zoomScaleSheetLayoutView="100" workbookViewId="0">
      <selection activeCell="O9" sqref="O9:O19"/>
    </sheetView>
  </sheetViews>
  <sheetFormatPr defaultColWidth="9.140625" defaultRowHeight="12.75"/>
  <cols>
    <col min="1" max="1" width="20" style="1" customWidth="1"/>
    <col min="2" max="2" width="13" style="1" customWidth="1"/>
    <col min="3" max="12" width="7.140625" style="1" customWidth="1"/>
    <col min="13" max="13" width="11.42578125" style="1" customWidth="1"/>
    <col min="14" max="14" width="9.85546875" style="1" customWidth="1"/>
    <col min="15" max="15" width="18.85546875" style="1" customWidth="1"/>
    <col min="16" max="16384" width="9.140625" style="1"/>
  </cols>
  <sheetData>
    <row r="1" spans="1:15" ht="24" customHeight="1">
      <c r="A1" s="1097" t="s">
        <v>349</v>
      </c>
      <c r="B1" s="1097"/>
      <c r="C1" s="1097"/>
      <c r="D1" s="1097"/>
      <c r="E1" s="1097"/>
      <c r="F1" s="1097"/>
      <c r="G1" s="1097"/>
      <c r="H1" s="1097"/>
      <c r="I1" s="1097"/>
      <c r="J1" s="1097"/>
      <c r="K1" s="1097"/>
      <c r="L1" s="1097"/>
      <c r="M1" s="1097"/>
      <c r="N1" s="1097"/>
      <c r="O1" s="1097"/>
    </row>
    <row r="2" spans="1:15" ht="15.75" customHeight="1">
      <c r="A2" s="1050" t="s">
        <v>348</v>
      </c>
      <c r="B2" s="1050"/>
      <c r="C2" s="1050"/>
      <c r="D2" s="1050"/>
      <c r="E2" s="1050"/>
      <c r="F2" s="1050"/>
      <c r="G2" s="1050"/>
      <c r="H2" s="1050"/>
      <c r="I2" s="1050"/>
      <c r="J2" s="1050"/>
      <c r="K2" s="1050"/>
      <c r="L2" s="1050"/>
      <c r="M2" s="1050"/>
      <c r="N2" s="1050"/>
      <c r="O2" s="1050"/>
    </row>
    <row r="3" spans="1:15" ht="15.75" customHeight="1">
      <c r="A3" s="1050">
        <v>2019</v>
      </c>
      <c r="B3" s="1050"/>
      <c r="C3" s="1050"/>
      <c r="D3" s="1050"/>
      <c r="E3" s="1050"/>
      <c r="F3" s="1050"/>
      <c r="G3" s="1050"/>
      <c r="H3" s="1050"/>
      <c r="I3" s="1050"/>
      <c r="J3" s="1050"/>
      <c r="K3" s="1050"/>
      <c r="L3" s="1050"/>
      <c r="M3" s="1050"/>
      <c r="N3" s="1050"/>
      <c r="O3" s="1050"/>
    </row>
    <row r="4" spans="1:15" ht="18.75" customHeight="1">
      <c r="A4" s="1050" t="s">
        <v>177</v>
      </c>
      <c r="B4" s="1050"/>
      <c r="C4" s="1050"/>
      <c r="D4" s="1050"/>
      <c r="E4" s="1050"/>
      <c r="F4" s="1050"/>
      <c r="G4" s="1050"/>
      <c r="H4" s="1050"/>
      <c r="I4" s="1050"/>
      <c r="J4" s="1050"/>
      <c r="K4" s="1050"/>
      <c r="L4" s="1050"/>
      <c r="M4" s="1050"/>
      <c r="N4" s="1050"/>
      <c r="O4" s="1050"/>
    </row>
    <row r="5" spans="1:15" ht="18.75" customHeight="1">
      <c r="A5" s="372"/>
      <c r="B5" s="372"/>
      <c r="C5" s="372"/>
      <c r="D5" s="372"/>
      <c r="E5" s="372"/>
      <c r="F5" s="372"/>
      <c r="G5" s="372"/>
      <c r="H5" s="372"/>
      <c r="I5" s="372"/>
      <c r="J5" s="372"/>
      <c r="K5" s="372"/>
      <c r="L5" s="372"/>
      <c r="M5" s="372"/>
      <c r="N5" s="372"/>
      <c r="O5" s="372"/>
    </row>
    <row r="6" spans="1:15" s="31" customFormat="1" ht="16.5">
      <c r="A6" s="362" t="s">
        <v>471</v>
      </c>
      <c r="B6" s="363"/>
      <c r="C6" s="363"/>
      <c r="D6" s="363"/>
      <c r="E6" s="363"/>
      <c r="F6" s="363"/>
      <c r="G6" s="363"/>
      <c r="H6" s="363"/>
      <c r="I6" s="363"/>
      <c r="J6" s="363"/>
      <c r="K6" s="363"/>
      <c r="L6" s="363"/>
      <c r="M6" s="364"/>
      <c r="N6" s="369"/>
      <c r="O6" s="369" t="s">
        <v>472</v>
      </c>
    </row>
    <row r="7" spans="1:15" ht="27.75" customHeight="1" thickBot="1">
      <c r="A7" s="1174" t="s">
        <v>657</v>
      </c>
      <c r="B7" s="1180" t="s">
        <v>347</v>
      </c>
      <c r="C7" s="1177"/>
      <c r="D7" s="1177"/>
      <c r="E7" s="1177"/>
      <c r="F7" s="1177"/>
      <c r="G7" s="1177"/>
      <c r="H7" s="1177"/>
      <c r="I7" s="1177"/>
      <c r="J7" s="1177"/>
      <c r="K7" s="1177"/>
      <c r="L7" s="1177"/>
      <c r="M7" s="1177"/>
      <c r="N7" s="1177"/>
      <c r="O7" s="1178" t="s">
        <v>314</v>
      </c>
    </row>
    <row r="8" spans="1:15" ht="42.75" customHeight="1">
      <c r="A8" s="1175"/>
      <c r="B8" s="902" t="s">
        <v>654</v>
      </c>
      <c r="C8" s="903">
        <v>-1</v>
      </c>
      <c r="D8" s="903">
        <v>1</v>
      </c>
      <c r="E8" s="903">
        <v>2</v>
      </c>
      <c r="F8" s="903">
        <v>3</v>
      </c>
      <c r="G8" s="903">
        <v>4</v>
      </c>
      <c r="H8" s="903" t="s">
        <v>1277</v>
      </c>
      <c r="I8" s="903" t="s">
        <v>1278</v>
      </c>
      <c r="J8" s="903" t="s">
        <v>1279</v>
      </c>
      <c r="K8" s="903" t="s">
        <v>1262</v>
      </c>
      <c r="L8" s="903" t="s">
        <v>441</v>
      </c>
      <c r="M8" s="332" t="s">
        <v>655</v>
      </c>
      <c r="N8" s="332" t="s">
        <v>116</v>
      </c>
      <c r="O8" s="1179"/>
    </row>
    <row r="9" spans="1:15" ht="19.5" customHeight="1" thickBot="1">
      <c r="A9" s="23" t="s">
        <v>437</v>
      </c>
      <c r="B9" s="22">
        <v>0</v>
      </c>
      <c r="C9" s="22">
        <v>4</v>
      </c>
      <c r="D9" s="22">
        <v>0</v>
      </c>
      <c r="E9" s="22">
        <v>0</v>
      </c>
      <c r="F9" s="22">
        <v>1</v>
      </c>
      <c r="G9" s="22">
        <v>0</v>
      </c>
      <c r="H9" s="22">
        <v>0</v>
      </c>
      <c r="I9" s="22">
        <v>0</v>
      </c>
      <c r="J9" s="22">
        <v>0</v>
      </c>
      <c r="K9" s="22">
        <v>0</v>
      </c>
      <c r="L9" s="22">
        <v>0</v>
      </c>
      <c r="M9" s="22">
        <v>0</v>
      </c>
      <c r="N9" s="55">
        <f>SUM(Table_Default__XLS_TAB_30_344[[#This Row],[B_CONS_CNT]:[NOT_STATED]])</f>
        <v>5</v>
      </c>
      <c r="O9" s="905" t="s">
        <v>437</v>
      </c>
    </row>
    <row r="10" spans="1:15" ht="19.5" customHeight="1" thickBot="1">
      <c r="A10" s="112" t="s">
        <v>128</v>
      </c>
      <c r="B10" s="22">
        <v>23</v>
      </c>
      <c r="C10" s="22">
        <v>14</v>
      </c>
      <c r="D10" s="22">
        <v>3</v>
      </c>
      <c r="E10" s="22">
        <v>9</v>
      </c>
      <c r="F10" s="22">
        <v>4</v>
      </c>
      <c r="G10" s="22">
        <v>3</v>
      </c>
      <c r="H10" s="22">
        <v>1</v>
      </c>
      <c r="I10" s="22">
        <v>0</v>
      </c>
      <c r="J10" s="22">
        <v>0</v>
      </c>
      <c r="K10" s="22">
        <v>0</v>
      </c>
      <c r="L10" s="22">
        <v>0</v>
      </c>
      <c r="M10" s="22">
        <v>0</v>
      </c>
      <c r="N10" s="55">
        <f>SUM(Table_Default__XLS_TAB_30_344[[#This Row],[B_CONS_CNT]:[NOT_STATED]])</f>
        <v>57</v>
      </c>
      <c r="O10" s="905" t="s">
        <v>128</v>
      </c>
    </row>
    <row r="11" spans="1:15" ht="19.5" customHeight="1" thickBot="1">
      <c r="A11" s="112" t="s">
        <v>127</v>
      </c>
      <c r="B11" s="22">
        <v>29</v>
      </c>
      <c r="C11" s="22">
        <v>46</v>
      </c>
      <c r="D11" s="22">
        <v>12</v>
      </c>
      <c r="E11" s="22">
        <v>8</v>
      </c>
      <c r="F11" s="22">
        <v>9</v>
      </c>
      <c r="G11" s="22">
        <v>11</v>
      </c>
      <c r="H11" s="22">
        <v>14</v>
      </c>
      <c r="I11" s="22">
        <v>0</v>
      </c>
      <c r="J11" s="22">
        <v>0</v>
      </c>
      <c r="K11" s="22">
        <v>0</v>
      </c>
      <c r="L11" s="22">
        <v>0</v>
      </c>
      <c r="M11" s="22">
        <v>0</v>
      </c>
      <c r="N11" s="55">
        <f>SUM(Table_Default__XLS_TAB_30_344[[#This Row],[B_CONS_CNT]:[NOT_STATED]])</f>
        <v>129</v>
      </c>
      <c r="O11" s="905" t="s">
        <v>127</v>
      </c>
    </row>
    <row r="12" spans="1:15" ht="19.5" customHeight="1" thickBot="1">
      <c r="A12" s="112" t="s">
        <v>126</v>
      </c>
      <c r="B12" s="22">
        <v>19</v>
      </c>
      <c r="C12" s="22">
        <v>82</v>
      </c>
      <c r="D12" s="22">
        <v>13</v>
      </c>
      <c r="E12" s="22">
        <v>12</v>
      </c>
      <c r="F12" s="22">
        <v>10</v>
      </c>
      <c r="G12" s="22">
        <v>9</v>
      </c>
      <c r="H12" s="22">
        <v>36</v>
      </c>
      <c r="I12" s="22">
        <v>9</v>
      </c>
      <c r="J12" s="22">
        <v>0</v>
      </c>
      <c r="K12" s="22">
        <v>0</v>
      </c>
      <c r="L12" s="22">
        <v>0</v>
      </c>
      <c r="M12" s="22">
        <v>0</v>
      </c>
      <c r="N12" s="55">
        <f>SUM(Table_Default__XLS_TAB_30_344[[#This Row],[B_CONS_CNT]:[NOT_STATED]])</f>
        <v>190</v>
      </c>
      <c r="O12" s="905" t="s">
        <v>126</v>
      </c>
    </row>
    <row r="13" spans="1:15" ht="19.5" customHeight="1" thickBot="1">
      <c r="A13" s="112" t="s">
        <v>125</v>
      </c>
      <c r="B13" s="22">
        <v>11</v>
      </c>
      <c r="C13" s="22">
        <v>89</v>
      </c>
      <c r="D13" s="22">
        <v>7</v>
      </c>
      <c r="E13" s="22">
        <v>10</v>
      </c>
      <c r="F13" s="22">
        <v>1</v>
      </c>
      <c r="G13" s="22">
        <v>2</v>
      </c>
      <c r="H13" s="22">
        <v>18</v>
      </c>
      <c r="I13" s="22">
        <v>18</v>
      </c>
      <c r="J13" s="22">
        <v>9</v>
      </c>
      <c r="K13" s="22">
        <v>0</v>
      </c>
      <c r="L13" s="22">
        <v>0</v>
      </c>
      <c r="M13" s="22">
        <v>0</v>
      </c>
      <c r="N13" s="55">
        <f>SUM(Table_Default__XLS_TAB_30_344[[#This Row],[B_CONS_CNT]:[NOT_STATED]])</f>
        <v>165</v>
      </c>
      <c r="O13" s="905" t="s">
        <v>125</v>
      </c>
    </row>
    <row r="14" spans="1:15" ht="19.5" customHeight="1" thickBot="1">
      <c r="A14" s="112" t="s">
        <v>124</v>
      </c>
      <c r="B14" s="22">
        <v>2</v>
      </c>
      <c r="C14" s="22">
        <v>57</v>
      </c>
      <c r="D14" s="22">
        <v>5</v>
      </c>
      <c r="E14" s="22">
        <v>2</v>
      </c>
      <c r="F14" s="22">
        <v>3</v>
      </c>
      <c r="G14" s="22">
        <v>3</v>
      </c>
      <c r="H14" s="22">
        <v>12</v>
      </c>
      <c r="I14" s="22">
        <v>8</v>
      </c>
      <c r="J14" s="22">
        <v>12</v>
      </c>
      <c r="K14" s="22">
        <v>1</v>
      </c>
      <c r="L14" s="22">
        <v>0</v>
      </c>
      <c r="M14" s="22">
        <v>0</v>
      </c>
      <c r="N14" s="55">
        <f>SUM(Table_Default__XLS_TAB_30_344[[#This Row],[B_CONS_CNT]:[NOT_STATED]])</f>
        <v>105</v>
      </c>
      <c r="O14" s="905" t="s">
        <v>124</v>
      </c>
    </row>
    <row r="15" spans="1:15" ht="19.5" customHeight="1" thickBot="1">
      <c r="A15" s="112" t="s">
        <v>123</v>
      </c>
      <c r="B15" s="22">
        <v>0</v>
      </c>
      <c r="C15" s="22">
        <v>44</v>
      </c>
      <c r="D15" s="22">
        <v>4</v>
      </c>
      <c r="E15" s="22">
        <v>1</v>
      </c>
      <c r="F15" s="22">
        <v>1</v>
      </c>
      <c r="G15" s="22">
        <v>3</v>
      </c>
      <c r="H15" s="22">
        <v>5</v>
      </c>
      <c r="I15" s="22">
        <v>3</v>
      </c>
      <c r="J15" s="22">
        <v>9</v>
      </c>
      <c r="K15" s="22">
        <v>4</v>
      </c>
      <c r="L15" s="22">
        <v>3</v>
      </c>
      <c r="M15" s="22">
        <v>0</v>
      </c>
      <c r="N15" s="55">
        <f>SUM(Table_Default__XLS_TAB_30_344[[#This Row],[B_CONS_CNT]:[NOT_STATED]])</f>
        <v>77</v>
      </c>
      <c r="O15" s="905" t="s">
        <v>123</v>
      </c>
    </row>
    <row r="16" spans="1:15" ht="19.5" customHeight="1" thickBot="1">
      <c r="A16" s="112" t="s">
        <v>122</v>
      </c>
      <c r="B16" s="22">
        <v>1</v>
      </c>
      <c r="C16" s="22">
        <v>12</v>
      </c>
      <c r="D16" s="22">
        <v>1</v>
      </c>
      <c r="E16" s="22">
        <v>1</v>
      </c>
      <c r="F16" s="22">
        <v>1</v>
      </c>
      <c r="G16" s="22">
        <v>0</v>
      </c>
      <c r="H16" s="22">
        <v>4</v>
      </c>
      <c r="I16" s="22">
        <v>1</v>
      </c>
      <c r="J16" s="22">
        <v>0</v>
      </c>
      <c r="K16" s="22">
        <v>2</v>
      </c>
      <c r="L16" s="22">
        <v>7</v>
      </c>
      <c r="M16" s="22">
        <v>0</v>
      </c>
      <c r="N16" s="55">
        <f>SUM(Table_Default__XLS_TAB_30_344[[#This Row],[B_CONS_CNT]:[NOT_STATED]])</f>
        <v>30</v>
      </c>
      <c r="O16" s="905" t="s">
        <v>122</v>
      </c>
    </row>
    <row r="17" spans="1:15" ht="19.5" customHeight="1" thickBot="1">
      <c r="A17" s="112" t="s">
        <v>121</v>
      </c>
      <c r="B17" s="22">
        <v>0</v>
      </c>
      <c r="C17" s="22">
        <v>8</v>
      </c>
      <c r="D17" s="22">
        <v>0</v>
      </c>
      <c r="E17" s="22">
        <v>0</v>
      </c>
      <c r="F17" s="22">
        <v>0</v>
      </c>
      <c r="G17" s="22">
        <v>0</v>
      </c>
      <c r="H17" s="22">
        <v>1</v>
      </c>
      <c r="I17" s="22">
        <v>1</v>
      </c>
      <c r="J17" s="22">
        <v>1</v>
      </c>
      <c r="K17" s="22">
        <v>0</v>
      </c>
      <c r="L17" s="22">
        <v>1</v>
      </c>
      <c r="M17" s="22">
        <v>0</v>
      </c>
      <c r="N17" s="55">
        <f>SUM(Table_Default__XLS_TAB_30_344[[#This Row],[B_CONS_CNT]:[NOT_STATED]])</f>
        <v>12</v>
      </c>
      <c r="O17" s="905" t="s">
        <v>121</v>
      </c>
    </row>
    <row r="18" spans="1:15" ht="19.5" customHeight="1" thickBot="1">
      <c r="A18" s="112" t="s">
        <v>133</v>
      </c>
      <c r="B18" s="22">
        <v>0</v>
      </c>
      <c r="C18" s="22">
        <v>3</v>
      </c>
      <c r="D18" s="22">
        <v>0</v>
      </c>
      <c r="E18" s="22">
        <v>0</v>
      </c>
      <c r="F18" s="22">
        <v>0</v>
      </c>
      <c r="G18" s="22">
        <v>0</v>
      </c>
      <c r="H18" s="22">
        <v>0</v>
      </c>
      <c r="I18" s="22">
        <v>0</v>
      </c>
      <c r="J18" s="22">
        <v>0</v>
      </c>
      <c r="K18" s="22">
        <v>0</v>
      </c>
      <c r="L18" s="22">
        <v>3</v>
      </c>
      <c r="M18" s="22">
        <v>0</v>
      </c>
      <c r="N18" s="55">
        <f>SUM(Table_Default__XLS_TAB_30_344[[#This Row],[B_CONS_CNT]:[NOT_STATED]])</f>
        <v>6</v>
      </c>
      <c r="O18" s="905" t="s">
        <v>133</v>
      </c>
    </row>
    <row r="19" spans="1:15" ht="19.5" customHeight="1" thickBot="1">
      <c r="A19" s="252" t="s">
        <v>15</v>
      </c>
      <c r="B19" s="860">
        <v>5</v>
      </c>
      <c r="C19" s="860">
        <v>28</v>
      </c>
      <c r="D19" s="860">
        <v>4</v>
      </c>
      <c r="E19" s="860">
        <v>8</v>
      </c>
      <c r="F19" s="860">
        <v>4</v>
      </c>
      <c r="G19" s="860">
        <v>1</v>
      </c>
      <c r="H19" s="860">
        <v>10</v>
      </c>
      <c r="I19" s="860">
        <v>2</v>
      </c>
      <c r="J19" s="860">
        <v>3</v>
      </c>
      <c r="K19" s="860">
        <v>0</v>
      </c>
      <c r="L19" s="860">
        <v>0</v>
      </c>
      <c r="M19" s="860">
        <v>0</v>
      </c>
      <c r="N19" s="55">
        <f>SUM(Table_Default__XLS_TAB_30_344[[#This Row],[B_CONS_CNT]:[NOT_STATED]])</f>
        <v>65</v>
      </c>
      <c r="O19" s="977" t="s">
        <v>16</v>
      </c>
    </row>
    <row r="20" spans="1:15" ht="19.5" customHeight="1">
      <c r="A20" s="113" t="s">
        <v>17</v>
      </c>
      <c r="B20" s="114">
        <f t="shared" ref="B20:M20" si="0">SUM(B9:B19)</f>
        <v>90</v>
      </c>
      <c r="C20" s="114">
        <f t="shared" si="0"/>
        <v>387</v>
      </c>
      <c r="D20" s="114">
        <f t="shared" si="0"/>
        <v>49</v>
      </c>
      <c r="E20" s="114">
        <f t="shared" si="0"/>
        <v>51</v>
      </c>
      <c r="F20" s="114">
        <f t="shared" si="0"/>
        <v>34</v>
      </c>
      <c r="G20" s="114">
        <f t="shared" si="0"/>
        <v>32</v>
      </c>
      <c r="H20" s="114">
        <f t="shared" si="0"/>
        <v>101</v>
      </c>
      <c r="I20" s="114">
        <f t="shared" si="0"/>
        <v>42</v>
      </c>
      <c r="J20" s="114">
        <f t="shared" si="0"/>
        <v>34</v>
      </c>
      <c r="K20" s="114">
        <f t="shared" si="0"/>
        <v>7</v>
      </c>
      <c r="L20" s="114">
        <f t="shared" si="0"/>
        <v>14</v>
      </c>
      <c r="M20" s="114">
        <f t="shared" si="0"/>
        <v>0</v>
      </c>
      <c r="N20" s="115">
        <f>SUM(N9:N19)</f>
        <v>841</v>
      </c>
      <c r="O20" s="116" t="s">
        <v>56</v>
      </c>
    </row>
    <row r="21" spans="1:15" s="2" customFormat="1" ht="14.25">
      <c r="A21" s="775" t="s">
        <v>343</v>
      </c>
      <c r="O21" s="874" t="s">
        <v>1280</v>
      </c>
    </row>
    <row r="22" spans="1:15">
      <c r="A22" s="80"/>
      <c r="O22" s="65"/>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22"/>
  <sheetViews>
    <sheetView rightToLeft="1" view="pageBreakPreview" zoomScaleNormal="100" zoomScaleSheetLayoutView="100" workbookViewId="0">
      <selection activeCell="O9" sqref="O9:O19"/>
    </sheetView>
  </sheetViews>
  <sheetFormatPr defaultColWidth="9.140625" defaultRowHeight="12.75"/>
  <cols>
    <col min="1" max="1" width="20" style="1" customWidth="1"/>
    <col min="2" max="2" width="13" style="1" customWidth="1"/>
    <col min="3" max="12" width="7.140625" style="1" customWidth="1"/>
    <col min="13" max="13" width="11.42578125" style="1" customWidth="1"/>
    <col min="14" max="14" width="9.85546875" style="1" customWidth="1"/>
    <col min="15" max="15" width="18.85546875" style="1" customWidth="1"/>
    <col min="16" max="16384" width="9.140625" style="1"/>
  </cols>
  <sheetData>
    <row r="1" spans="1:15" ht="24" customHeight="1">
      <c r="A1" s="1097" t="s">
        <v>349</v>
      </c>
      <c r="B1" s="1097"/>
      <c r="C1" s="1097"/>
      <c r="D1" s="1097"/>
      <c r="E1" s="1097"/>
      <c r="F1" s="1097"/>
      <c r="G1" s="1097"/>
      <c r="H1" s="1097"/>
      <c r="I1" s="1097"/>
      <c r="J1" s="1097"/>
      <c r="K1" s="1097"/>
      <c r="L1" s="1097"/>
      <c r="M1" s="1097"/>
      <c r="N1" s="1097"/>
      <c r="O1" s="1097"/>
    </row>
    <row r="2" spans="1:15" ht="15.75" customHeight="1">
      <c r="A2" s="1050" t="s">
        <v>348</v>
      </c>
      <c r="B2" s="1050"/>
      <c r="C2" s="1050"/>
      <c r="D2" s="1050"/>
      <c r="E2" s="1050"/>
      <c r="F2" s="1050"/>
      <c r="G2" s="1050"/>
      <c r="H2" s="1050"/>
      <c r="I2" s="1050"/>
      <c r="J2" s="1050"/>
      <c r="K2" s="1050"/>
      <c r="L2" s="1050"/>
      <c r="M2" s="1050"/>
      <c r="N2" s="1050"/>
      <c r="O2" s="1050"/>
    </row>
    <row r="3" spans="1:15" ht="15.75" customHeight="1">
      <c r="A3" s="1050">
        <v>2019</v>
      </c>
      <c r="B3" s="1050"/>
      <c r="C3" s="1050"/>
      <c r="D3" s="1050"/>
      <c r="E3" s="1050"/>
      <c r="F3" s="1050"/>
      <c r="G3" s="1050"/>
      <c r="H3" s="1050"/>
      <c r="I3" s="1050"/>
      <c r="J3" s="1050"/>
      <c r="K3" s="1050"/>
      <c r="L3" s="1050"/>
      <c r="M3" s="1050"/>
      <c r="N3" s="1050"/>
      <c r="O3" s="1050"/>
    </row>
    <row r="4" spans="1:15" ht="18.75" customHeight="1">
      <c r="A4" s="1050" t="s">
        <v>1</v>
      </c>
      <c r="B4" s="1050"/>
      <c r="C4" s="1050"/>
      <c r="D4" s="1050"/>
      <c r="E4" s="1050"/>
      <c r="F4" s="1050"/>
      <c r="G4" s="1050"/>
      <c r="H4" s="1050"/>
      <c r="I4" s="1050"/>
      <c r="J4" s="1050"/>
      <c r="K4" s="1050"/>
      <c r="L4" s="1050"/>
      <c r="M4" s="1050"/>
      <c r="N4" s="1050"/>
      <c r="O4" s="1050"/>
    </row>
    <row r="5" spans="1:15" ht="18.75" customHeight="1">
      <c r="A5" s="372"/>
      <c r="B5" s="372"/>
      <c r="C5" s="372"/>
      <c r="D5" s="372"/>
      <c r="E5" s="372"/>
      <c r="F5" s="372"/>
      <c r="G5" s="372"/>
      <c r="H5" s="372"/>
      <c r="I5" s="372"/>
      <c r="J5" s="372"/>
      <c r="K5" s="372"/>
      <c r="L5" s="372"/>
      <c r="M5" s="372"/>
      <c r="N5" s="372"/>
      <c r="O5" s="372"/>
    </row>
    <row r="6" spans="1:15" s="31" customFormat="1" ht="16.5">
      <c r="A6" s="362" t="s">
        <v>469</v>
      </c>
      <c r="B6" s="363"/>
      <c r="C6" s="363"/>
      <c r="D6" s="363"/>
      <c r="E6" s="363"/>
      <c r="F6" s="363"/>
      <c r="G6" s="363"/>
      <c r="H6" s="363"/>
      <c r="I6" s="363"/>
      <c r="J6" s="363"/>
      <c r="K6" s="363"/>
      <c r="L6" s="363"/>
      <c r="M6" s="364"/>
      <c r="N6" s="369"/>
      <c r="O6" s="369" t="s">
        <v>470</v>
      </c>
    </row>
    <row r="7" spans="1:15" ht="27.75" customHeight="1" thickBot="1">
      <c r="A7" s="1174" t="s">
        <v>657</v>
      </c>
      <c r="B7" s="1180" t="s">
        <v>347</v>
      </c>
      <c r="C7" s="1177"/>
      <c r="D7" s="1177"/>
      <c r="E7" s="1177"/>
      <c r="F7" s="1177"/>
      <c r="G7" s="1177"/>
      <c r="H7" s="1177"/>
      <c r="I7" s="1177"/>
      <c r="J7" s="1177"/>
      <c r="K7" s="1177"/>
      <c r="L7" s="1177"/>
      <c r="M7" s="1177"/>
      <c r="N7" s="1177"/>
      <c r="O7" s="1178" t="s">
        <v>314</v>
      </c>
    </row>
    <row r="8" spans="1:15" ht="42.75" customHeight="1">
      <c r="A8" s="1175"/>
      <c r="B8" s="902" t="s">
        <v>654</v>
      </c>
      <c r="C8" s="903">
        <v>-1</v>
      </c>
      <c r="D8" s="903">
        <v>1</v>
      </c>
      <c r="E8" s="903">
        <v>2</v>
      </c>
      <c r="F8" s="903">
        <v>3</v>
      </c>
      <c r="G8" s="903">
        <v>4</v>
      </c>
      <c r="H8" s="903" t="s">
        <v>1277</v>
      </c>
      <c r="I8" s="903" t="s">
        <v>1278</v>
      </c>
      <c r="J8" s="903" t="s">
        <v>1279</v>
      </c>
      <c r="K8" s="903" t="s">
        <v>1262</v>
      </c>
      <c r="L8" s="903" t="s">
        <v>441</v>
      </c>
      <c r="M8" s="332" t="s">
        <v>655</v>
      </c>
      <c r="N8" s="332" t="s">
        <v>116</v>
      </c>
      <c r="O8" s="1179"/>
    </row>
    <row r="9" spans="1:15" ht="19.5" customHeight="1" thickBot="1">
      <c r="A9" s="23" t="s">
        <v>437</v>
      </c>
      <c r="B9" s="22">
        <v>1</v>
      </c>
      <c r="C9" s="22">
        <v>4</v>
      </c>
      <c r="D9" s="22">
        <v>1</v>
      </c>
      <c r="E9" s="22">
        <v>2</v>
      </c>
      <c r="F9" s="22">
        <v>1</v>
      </c>
      <c r="G9" s="22">
        <v>0</v>
      </c>
      <c r="H9" s="22">
        <v>0</v>
      </c>
      <c r="I9" s="22">
        <v>0</v>
      </c>
      <c r="J9" s="22">
        <v>0</v>
      </c>
      <c r="K9" s="22">
        <v>0</v>
      </c>
      <c r="L9" s="22">
        <v>0</v>
      </c>
      <c r="M9" s="22">
        <v>0</v>
      </c>
      <c r="N9" s="55">
        <f>SUM(Table_Default__XLS_TAB_30_3[[#This Row],[B_CONS_CNT]:[NOT_STATED]])</f>
        <v>9</v>
      </c>
      <c r="O9" s="905" t="s">
        <v>437</v>
      </c>
    </row>
    <row r="10" spans="1:15" ht="19.5" customHeight="1" thickBot="1">
      <c r="A10" s="112" t="s">
        <v>128</v>
      </c>
      <c r="B10" s="22">
        <v>71</v>
      </c>
      <c r="C10" s="22">
        <v>42</v>
      </c>
      <c r="D10" s="22">
        <v>19</v>
      </c>
      <c r="E10" s="22">
        <v>18</v>
      </c>
      <c r="F10" s="22">
        <v>7</v>
      </c>
      <c r="G10" s="22">
        <v>5</v>
      </c>
      <c r="H10" s="22">
        <v>4</v>
      </c>
      <c r="I10" s="22">
        <v>0</v>
      </c>
      <c r="J10" s="22">
        <v>0</v>
      </c>
      <c r="K10" s="22">
        <v>0</v>
      </c>
      <c r="L10" s="22">
        <v>0</v>
      </c>
      <c r="M10" s="22">
        <v>0</v>
      </c>
      <c r="N10" s="55">
        <f>SUM(Table_Default__XLS_TAB_30_3[[#This Row],[B_CONS_CNT]:[NOT_STATED]])</f>
        <v>166</v>
      </c>
      <c r="O10" s="905" t="s">
        <v>128</v>
      </c>
    </row>
    <row r="11" spans="1:15" ht="19.5" customHeight="1" thickBot="1">
      <c r="A11" s="112" t="s">
        <v>127</v>
      </c>
      <c r="B11" s="22">
        <v>105</v>
      </c>
      <c r="C11" s="22">
        <v>121</v>
      </c>
      <c r="D11" s="22">
        <v>30</v>
      </c>
      <c r="E11" s="22">
        <v>15</v>
      </c>
      <c r="F11" s="22">
        <v>24</v>
      </c>
      <c r="G11" s="22">
        <v>25</v>
      </c>
      <c r="H11" s="22">
        <v>43</v>
      </c>
      <c r="I11" s="22">
        <v>1</v>
      </c>
      <c r="J11" s="22">
        <v>0</v>
      </c>
      <c r="K11" s="22">
        <v>0</v>
      </c>
      <c r="L11" s="22">
        <v>0</v>
      </c>
      <c r="M11" s="22">
        <v>0</v>
      </c>
      <c r="N11" s="55">
        <f>SUM(Table_Default__XLS_TAB_30_3[[#This Row],[B_CONS_CNT]:[NOT_STATED]])</f>
        <v>364</v>
      </c>
      <c r="O11" s="905" t="s">
        <v>127</v>
      </c>
    </row>
    <row r="12" spans="1:15" ht="19.5" customHeight="1" thickBot="1">
      <c r="A12" s="112" t="s">
        <v>126</v>
      </c>
      <c r="B12" s="22">
        <v>49</v>
      </c>
      <c r="C12" s="22">
        <v>171</v>
      </c>
      <c r="D12" s="22">
        <v>25</v>
      </c>
      <c r="E12" s="22">
        <v>22</v>
      </c>
      <c r="F12" s="22">
        <v>20</v>
      </c>
      <c r="G12" s="22">
        <v>14</v>
      </c>
      <c r="H12" s="22">
        <v>64</v>
      </c>
      <c r="I12" s="22">
        <v>29</v>
      </c>
      <c r="J12" s="22">
        <v>2</v>
      </c>
      <c r="K12" s="22">
        <v>0</v>
      </c>
      <c r="L12" s="22">
        <v>0</v>
      </c>
      <c r="M12" s="22">
        <v>0</v>
      </c>
      <c r="N12" s="55">
        <f>SUM(Table_Default__XLS_TAB_30_3[[#This Row],[B_CONS_CNT]:[NOT_STATED]])</f>
        <v>396</v>
      </c>
      <c r="O12" s="905" t="s">
        <v>126</v>
      </c>
    </row>
    <row r="13" spans="1:15" ht="19.5" customHeight="1" thickBot="1">
      <c r="A13" s="112" t="s">
        <v>125</v>
      </c>
      <c r="B13" s="22">
        <v>29</v>
      </c>
      <c r="C13" s="22">
        <v>146</v>
      </c>
      <c r="D13" s="22">
        <v>11</v>
      </c>
      <c r="E13" s="22">
        <v>13</v>
      </c>
      <c r="F13" s="22">
        <v>6</v>
      </c>
      <c r="G13" s="22">
        <v>4</v>
      </c>
      <c r="H13" s="22">
        <v>34</v>
      </c>
      <c r="I13" s="22">
        <v>34</v>
      </c>
      <c r="J13" s="22">
        <v>22</v>
      </c>
      <c r="K13" s="22">
        <v>0</v>
      </c>
      <c r="L13" s="22">
        <v>0</v>
      </c>
      <c r="M13" s="22">
        <v>1</v>
      </c>
      <c r="N13" s="55">
        <f>SUM(Table_Default__XLS_TAB_30_3[[#This Row],[B_CONS_CNT]:[NOT_STATED]])</f>
        <v>300</v>
      </c>
      <c r="O13" s="905" t="s">
        <v>125</v>
      </c>
    </row>
    <row r="14" spans="1:15" ht="19.5" customHeight="1" thickBot="1">
      <c r="A14" s="112" t="s">
        <v>124</v>
      </c>
      <c r="B14" s="22">
        <v>7</v>
      </c>
      <c r="C14" s="22">
        <v>123</v>
      </c>
      <c r="D14" s="22">
        <v>8</v>
      </c>
      <c r="E14" s="22">
        <v>3</v>
      </c>
      <c r="F14" s="22">
        <v>3</v>
      </c>
      <c r="G14" s="22">
        <v>3</v>
      </c>
      <c r="H14" s="22">
        <v>20</v>
      </c>
      <c r="I14" s="22">
        <v>15</v>
      </c>
      <c r="J14" s="22">
        <v>24</v>
      </c>
      <c r="K14" s="22">
        <v>4</v>
      </c>
      <c r="L14" s="22">
        <v>2</v>
      </c>
      <c r="M14" s="22">
        <v>0</v>
      </c>
      <c r="N14" s="55">
        <f>SUM(Table_Default__XLS_TAB_30_3[[#This Row],[B_CONS_CNT]:[NOT_STATED]])</f>
        <v>212</v>
      </c>
      <c r="O14" s="905" t="s">
        <v>124</v>
      </c>
    </row>
    <row r="15" spans="1:15" ht="19.5" customHeight="1" thickBot="1">
      <c r="A15" s="112" t="s">
        <v>123</v>
      </c>
      <c r="B15" s="22">
        <v>2</v>
      </c>
      <c r="C15" s="22">
        <v>95</v>
      </c>
      <c r="D15" s="22">
        <v>6</v>
      </c>
      <c r="E15" s="22">
        <v>4</v>
      </c>
      <c r="F15" s="22">
        <v>3</v>
      </c>
      <c r="G15" s="22">
        <v>3</v>
      </c>
      <c r="H15" s="22">
        <v>9</v>
      </c>
      <c r="I15" s="22">
        <v>11</v>
      </c>
      <c r="J15" s="22">
        <v>12</v>
      </c>
      <c r="K15" s="22">
        <v>13</v>
      </c>
      <c r="L15" s="22">
        <v>7</v>
      </c>
      <c r="M15" s="22">
        <v>0</v>
      </c>
      <c r="N15" s="55">
        <f>SUM(Table_Default__XLS_TAB_30_3[[#This Row],[B_CONS_CNT]:[NOT_STATED]])</f>
        <v>165</v>
      </c>
      <c r="O15" s="905" t="s">
        <v>123</v>
      </c>
    </row>
    <row r="16" spans="1:15" ht="19.5" customHeight="1" thickBot="1">
      <c r="A16" s="112" t="s">
        <v>122</v>
      </c>
      <c r="B16" s="22">
        <v>1</v>
      </c>
      <c r="C16" s="22">
        <v>49</v>
      </c>
      <c r="D16" s="22">
        <v>1</v>
      </c>
      <c r="E16" s="22">
        <v>3</v>
      </c>
      <c r="F16" s="22">
        <v>1</v>
      </c>
      <c r="G16" s="22">
        <v>1</v>
      </c>
      <c r="H16" s="22">
        <v>5</v>
      </c>
      <c r="I16" s="22">
        <v>5</v>
      </c>
      <c r="J16" s="22">
        <v>1</v>
      </c>
      <c r="K16" s="22">
        <v>6</v>
      </c>
      <c r="L16" s="22">
        <v>17</v>
      </c>
      <c r="M16" s="22">
        <v>0</v>
      </c>
      <c r="N16" s="55">
        <f>SUM(Table_Default__XLS_TAB_30_3[[#This Row],[B_CONS_CNT]:[NOT_STATED]])</f>
        <v>90</v>
      </c>
      <c r="O16" s="905" t="s">
        <v>122</v>
      </c>
    </row>
    <row r="17" spans="1:15" ht="19.5" customHeight="1" thickBot="1">
      <c r="A17" s="112" t="s">
        <v>121</v>
      </c>
      <c r="B17" s="22">
        <v>3</v>
      </c>
      <c r="C17" s="22">
        <v>25</v>
      </c>
      <c r="D17" s="22">
        <v>0</v>
      </c>
      <c r="E17" s="22">
        <v>0</v>
      </c>
      <c r="F17" s="22">
        <v>1</v>
      </c>
      <c r="G17" s="22">
        <v>0</v>
      </c>
      <c r="H17" s="22">
        <v>1</v>
      </c>
      <c r="I17" s="22">
        <v>3</v>
      </c>
      <c r="J17" s="22">
        <v>2</v>
      </c>
      <c r="K17" s="22">
        <v>2</v>
      </c>
      <c r="L17" s="22">
        <v>6</v>
      </c>
      <c r="M17" s="22">
        <v>1</v>
      </c>
      <c r="N17" s="55">
        <f>SUM(Table_Default__XLS_TAB_30_3[[#This Row],[B_CONS_CNT]:[NOT_STATED]])</f>
        <v>44</v>
      </c>
      <c r="O17" s="905" t="s">
        <v>121</v>
      </c>
    </row>
    <row r="18" spans="1:15" ht="19.5" customHeight="1" thickBot="1">
      <c r="A18" s="112" t="s">
        <v>133</v>
      </c>
      <c r="B18" s="22">
        <v>0</v>
      </c>
      <c r="C18" s="22">
        <v>8</v>
      </c>
      <c r="D18" s="22">
        <v>0</v>
      </c>
      <c r="E18" s="22">
        <v>0</v>
      </c>
      <c r="F18" s="22">
        <v>0</v>
      </c>
      <c r="G18" s="22">
        <v>0</v>
      </c>
      <c r="H18" s="22">
        <v>0</v>
      </c>
      <c r="I18" s="22">
        <v>2</v>
      </c>
      <c r="J18" s="22">
        <v>2</v>
      </c>
      <c r="K18" s="22">
        <v>0</v>
      </c>
      <c r="L18" s="22">
        <v>9</v>
      </c>
      <c r="M18" s="22">
        <v>1</v>
      </c>
      <c r="N18" s="55">
        <f>SUM(Table_Default__XLS_TAB_30_3[[#This Row],[B_CONS_CNT]:[NOT_STATED]])</f>
        <v>22</v>
      </c>
      <c r="O18" s="905" t="s">
        <v>133</v>
      </c>
    </row>
    <row r="19" spans="1:15" ht="19.5" customHeight="1" thickBot="1">
      <c r="A19" s="252" t="s">
        <v>15</v>
      </c>
      <c r="B19" s="860">
        <v>5</v>
      </c>
      <c r="C19" s="860">
        <v>28</v>
      </c>
      <c r="D19" s="860">
        <v>4</v>
      </c>
      <c r="E19" s="860">
        <v>8</v>
      </c>
      <c r="F19" s="860">
        <v>4</v>
      </c>
      <c r="G19" s="860">
        <v>1</v>
      </c>
      <c r="H19" s="860">
        <v>10</v>
      </c>
      <c r="I19" s="860">
        <v>2</v>
      </c>
      <c r="J19" s="860">
        <v>3</v>
      </c>
      <c r="K19" s="860">
        <v>0</v>
      </c>
      <c r="L19" s="860">
        <v>0</v>
      </c>
      <c r="M19" s="860">
        <v>0</v>
      </c>
      <c r="N19" s="55">
        <f>SUM(Table_Default__XLS_TAB_30_3[[#This Row],[B_CONS_CNT]:[NOT_STATED]])</f>
        <v>65</v>
      </c>
      <c r="O19" s="977" t="s">
        <v>16</v>
      </c>
    </row>
    <row r="20" spans="1:15" ht="19.5" customHeight="1">
      <c r="A20" s="113" t="s">
        <v>17</v>
      </c>
      <c r="B20" s="114">
        <f>SUM(B9:B19)</f>
        <v>273</v>
      </c>
      <c r="C20" s="114">
        <f t="shared" ref="C20:N20" si="0">SUM(C9:C19)</f>
        <v>812</v>
      </c>
      <c r="D20" s="114">
        <f t="shared" si="0"/>
        <v>105</v>
      </c>
      <c r="E20" s="114">
        <f t="shared" si="0"/>
        <v>88</v>
      </c>
      <c r="F20" s="114">
        <f t="shared" si="0"/>
        <v>70</v>
      </c>
      <c r="G20" s="114">
        <f t="shared" si="0"/>
        <v>56</v>
      </c>
      <c r="H20" s="114">
        <f t="shared" si="0"/>
        <v>190</v>
      </c>
      <c r="I20" s="114">
        <f t="shared" si="0"/>
        <v>102</v>
      </c>
      <c r="J20" s="114">
        <f t="shared" si="0"/>
        <v>68</v>
      </c>
      <c r="K20" s="114">
        <f t="shared" si="0"/>
        <v>25</v>
      </c>
      <c r="L20" s="114">
        <f>SUM(L9:L19)</f>
        <v>41</v>
      </c>
      <c r="M20" s="114">
        <f t="shared" si="0"/>
        <v>3</v>
      </c>
      <c r="N20" s="115">
        <f t="shared" si="0"/>
        <v>1833</v>
      </c>
      <c r="O20" s="116" t="s">
        <v>56</v>
      </c>
    </row>
    <row r="21" spans="1:15" ht="14.25">
      <c r="A21" s="775" t="s">
        <v>343</v>
      </c>
      <c r="O21" s="874" t="s">
        <v>1280</v>
      </c>
    </row>
    <row r="22" spans="1:15">
      <c r="A22" s="80"/>
      <c r="O22" s="65"/>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R23"/>
  <sheetViews>
    <sheetView rightToLeft="1" view="pageBreakPreview" topLeftCell="A4" zoomScaleNormal="100" zoomScaleSheetLayoutView="100" workbookViewId="0">
      <selection activeCell="M18" sqref="M18"/>
    </sheetView>
  </sheetViews>
  <sheetFormatPr defaultColWidth="9.140625" defaultRowHeight="12.75"/>
  <cols>
    <col min="1" max="1" width="21" style="1" customWidth="1"/>
    <col min="2" max="11" width="7.42578125" style="1" customWidth="1"/>
    <col min="12" max="12" width="11.140625" style="1" customWidth="1"/>
    <col min="13" max="13" width="13.42578125" style="1" customWidth="1"/>
    <col min="14" max="14" width="19.42578125" style="1" customWidth="1"/>
    <col min="15" max="16384" width="9.140625" style="1"/>
  </cols>
  <sheetData>
    <row r="1" spans="1:18" s="2" customFormat="1" ht="21.75" customHeight="1">
      <c r="A1" s="1009" t="s">
        <v>352</v>
      </c>
      <c r="B1" s="1009"/>
      <c r="C1" s="1009"/>
      <c r="D1" s="1009"/>
      <c r="E1" s="1009"/>
      <c r="F1" s="1009"/>
      <c r="G1" s="1009"/>
      <c r="H1" s="1009"/>
      <c r="I1" s="1009"/>
      <c r="J1" s="1009"/>
      <c r="K1" s="1009"/>
      <c r="L1" s="1009"/>
      <c r="M1" s="1009"/>
      <c r="N1" s="1009"/>
    </row>
    <row r="2" spans="1:18" s="2" customFormat="1" ht="15.75">
      <c r="A2" s="1036" t="s">
        <v>351</v>
      </c>
      <c r="B2" s="1036"/>
      <c r="C2" s="1036"/>
      <c r="D2" s="1036"/>
      <c r="E2" s="1036"/>
      <c r="F2" s="1036"/>
      <c r="G2" s="1036"/>
      <c r="H2" s="1036"/>
      <c r="I2" s="1036"/>
      <c r="J2" s="1036"/>
      <c r="K2" s="1036"/>
      <c r="L2" s="1036"/>
      <c r="M2" s="1036"/>
      <c r="N2" s="1036"/>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t="s">
        <v>53</v>
      </c>
      <c r="B4" s="1037"/>
      <c r="C4" s="1037"/>
      <c r="D4" s="1037"/>
      <c r="E4" s="1037"/>
      <c r="F4" s="1037"/>
      <c r="G4" s="1037"/>
      <c r="H4" s="1037"/>
      <c r="I4" s="1037"/>
      <c r="J4" s="1037"/>
      <c r="K4" s="1037"/>
      <c r="L4" s="1037"/>
      <c r="M4" s="1037"/>
      <c r="N4" s="1037"/>
    </row>
    <row r="5" spans="1:18" s="2" customFormat="1" ht="15.75">
      <c r="A5" s="361"/>
      <c r="B5" s="361"/>
      <c r="C5" s="361"/>
      <c r="D5" s="361"/>
      <c r="E5" s="361"/>
      <c r="F5" s="361"/>
      <c r="G5" s="361"/>
      <c r="H5" s="361"/>
      <c r="I5" s="361"/>
      <c r="J5" s="361"/>
      <c r="K5" s="361"/>
      <c r="L5" s="361"/>
      <c r="M5" s="361"/>
      <c r="N5" s="361"/>
    </row>
    <row r="6" spans="1:18" s="31" customFormat="1" ht="15.75">
      <c r="A6" s="373" t="s">
        <v>475</v>
      </c>
      <c r="B6" s="374"/>
      <c r="C6" s="374"/>
      <c r="D6" s="374"/>
      <c r="E6" s="374"/>
      <c r="F6" s="374"/>
      <c r="G6" s="374"/>
      <c r="H6" s="374"/>
      <c r="I6" s="374"/>
      <c r="J6" s="374"/>
      <c r="K6" s="374"/>
      <c r="L6" s="374"/>
      <c r="M6" s="374"/>
      <c r="N6" s="375" t="s">
        <v>516</v>
      </c>
    </row>
    <row r="7" spans="1:18" ht="26.25" customHeight="1" thickBot="1">
      <c r="A7" s="1099" t="s">
        <v>159</v>
      </c>
      <c r="B7" s="1087" t="s">
        <v>136</v>
      </c>
      <c r="C7" s="1087"/>
      <c r="D7" s="1087"/>
      <c r="E7" s="1087"/>
      <c r="F7" s="1087"/>
      <c r="G7" s="1087"/>
      <c r="H7" s="1087"/>
      <c r="I7" s="1087"/>
      <c r="J7" s="1087"/>
      <c r="K7" s="1087"/>
      <c r="L7" s="1087"/>
      <c r="M7" s="1087"/>
      <c r="N7" s="1106" t="s">
        <v>350</v>
      </c>
    </row>
    <row r="8" spans="1:18" ht="39.75" customHeight="1">
      <c r="A8" s="1100"/>
      <c r="B8" s="319">
        <v>-20</v>
      </c>
      <c r="C8" s="319" t="s">
        <v>128</v>
      </c>
      <c r="D8" s="319" t="s">
        <v>127</v>
      </c>
      <c r="E8" s="319" t="s">
        <v>126</v>
      </c>
      <c r="F8" s="319" t="s">
        <v>125</v>
      </c>
      <c r="G8" s="319" t="s">
        <v>124</v>
      </c>
      <c r="H8" s="319" t="s">
        <v>123</v>
      </c>
      <c r="I8" s="319" t="s">
        <v>122</v>
      </c>
      <c r="J8" s="319" t="s">
        <v>121</v>
      </c>
      <c r="K8" s="319" t="s">
        <v>133</v>
      </c>
      <c r="L8" s="328" t="s">
        <v>658</v>
      </c>
      <c r="M8" s="325" t="s">
        <v>116</v>
      </c>
      <c r="N8" s="1107"/>
    </row>
    <row r="9" spans="1:18" ht="16.5" customHeight="1" thickBot="1">
      <c r="A9" s="6" t="s">
        <v>437</v>
      </c>
      <c r="B9" s="81">
        <v>0</v>
      </c>
      <c r="C9" s="81">
        <v>0</v>
      </c>
      <c r="D9" s="81">
        <v>0</v>
      </c>
      <c r="E9" s="81">
        <v>0</v>
      </c>
      <c r="F9" s="81">
        <v>0</v>
      </c>
      <c r="G9" s="81">
        <v>0</v>
      </c>
      <c r="H9" s="81">
        <v>0</v>
      </c>
      <c r="I9" s="81">
        <v>0</v>
      </c>
      <c r="J9" s="81">
        <v>0</v>
      </c>
      <c r="K9" s="81">
        <v>0</v>
      </c>
      <c r="L9" s="81">
        <v>1</v>
      </c>
      <c r="M9" s="7">
        <f>SUM(Table_Default__XLS_TAB_31_1[[#This Row],[CNT_BELOW_20]:[NOT_STATED]])</f>
        <v>1</v>
      </c>
      <c r="N9" s="103" t="s">
        <v>437</v>
      </c>
    </row>
    <row r="10" spans="1:18" ht="16.5" customHeight="1" thickBot="1">
      <c r="A10" s="117" t="s">
        <v>128</v>
      </c>
      <c r="B10" s="81">
        <v>3</v>
      </c>
      <c r="C10" s="81">
        <v>51</v>
      </c>
      <c r="D10" s="81">
        <v>30</v>
      </c>
      <c r="E10" s="81">
        <v>4</v>
      </c>
      <c r="F10" s="81">
        <v>0</v>
      </c>
      <c r="G10" s="81">
        <v>0</v>
      </c>
      <c r="H10" s="81">
        <v>0</v>
      </c>
      <c r="I10" s="81">
        <v>0</v>
      </c>
      <c r="J10" s="81">
        <v>0</v>
      </c>
      <c r="K10" s="81">
        <v>0</v>
      </c>
      <c r="L10" s="81">
        <v>2</v>
      </c>
      <c r="M10" s="7">
        <f>SUM(Table_Default__XLS_TAB_31_1[[#This Row],[CNT_BELOW_20]:[NOT_STATED]])</f>
        <v>90</v>
      </c>
      <c r="N10" s="103" t="s">
        <v>128</v>
      </c>
    </row>
    <row r="11" spans="1:18" ht="16.5" customHeight="1" thickBot="1">
      <c r="A11" s="117" t="s">
        <v>127</v>
      </c>
      <c r="B11" s="81">
        <v>1</v>
      </c>
      <c r="C11" s="81">
        <v>59</v>
      </c>
      <c r="D11" s="81">
        <v>144</v>
      </c>
      <c r="E11" s="81">
        <v>40</v>
      </c>
      <c r="F11" s="81">
        <v>6</v>
      </c>
      <c r="G11" s="81">
        <v>1</v>
      </c>
      <c r="H11" s="81">
        <v>0</v>
      </c>
      <c r="I11" s="81">
        <v>0</v>
      </c>
      <c r="J11" s="81">
        <v>0</v>
      </c>
      <c r="K11" s="81">
        <v>0</v>
      </c>
      <c r="L11" s="81">
        <v>9</v>
      </c>
      <c r="M11" s="7">
        <f>SUM(Table_Default__XLS_TAB_31_1[[#This Row],[CNT_BELOW_20]:[NOT_STATED]])</f>
        <v>260</v>
      </c>
      <c r="N11" s="103" t="s">
        <v>127</v>
      </c>
    </row>
    <row r="12" spans="1:18" ht="16.5" customHeight="1" thickBot="1">
      <c r="A12" s="117" t="s">
        <v>126</v>
      </c>
      <c r="B12" s="81">
        <v>1</v>
      </c>
      <c r="C12" s="81">
        <v>12</v>
      </c>
      <c r="D12" s="81">
        <v>63</v>
      </c>
      <c r="E12" s="81">
        <v>97</v>
      </c>
      <c r="F12" s="81">
        <v>25</v>
      </c>
      <c r="G12" s="81">
        <v>4</v>
      </c>
      <c r="H12" s="81">
        <v>3</v>
      </c>
      <c r="I12" s="81">
        <v>0</v>
      </c>
      <c r="J12" s="81">
        <v>0</v>
      </c>
      <c r="K12" s="81">
        <v>0</v>
      </c>
      <c r="L12" s="81">
        <v>5</v>
      </c>
      <c r="M12" s="7">
        <f>SUM(Table_Default__XLS_TAB_31_1[[#This Row],[CNT_BELOW_20]:[NOT_STATED]])</f>
        <v>210</v>
      </c>
      <c r="N12" s="103" t="s">
        <v>126</v>
      </c>
    </row>
    <row r="13" spans="1:18" ht="16.5" customHeight="1" thickBot="1">
      <c r="A13" s="117" t="s">
        <v>125</v>
      </c>
      <c r="B13" s="81">
        <v>0</v>
      </c>
      <c r="C13" s="81">
        <v>1</v>
      </c>
      <c r="D13" s="81">
        <v>20</v>
      </c>
      <c r="E13" s="81">
        <v>55</v>
      </c>
      <c r="F13" s="81">
        <v>53</v>
      </c>
      <c r="G13" s="81">
        <v>24</v>
      </c>
      <c r="H13" s="81">
        <v>5</v>
      </c>
      <c r="I13" s="81">
        <v>1</v>
      </c>
      <c r="J13" s="81">
        <v>0</v>
      </c>
      <c r="K13" s="81">
        <v>0</v>
      </c>
      <c r="L13" s="81">
        <v>6</v>
      </c>
      <c r="M13" s="7">
        <f>SUM(Table_Default__XLS_TAB_31_1[[#This Row],[CNT_BELOW_20]:[NOT_STATED]])</f>
        <v>165</v>
      </c>
      <c r="N13" s="103" t="s">
        <v>125</v>
      </c>
    </row>
    <row r="14" spans="1:18" ht="16.5" customHeight="1" thickBot="1">
      <c r="A14" s="117" t="s">
        <v>124</v>
      </c>
      <c r="B14" s="81">
        <v>0</v>
      </c>
      <c r="C14" s="81">
        <v>1</v>
      </c>
      <c r="D14" s="81">
        <v>2</v>
      </c>
      <c r="E14" s="81">
        <v>14</v>
      </c>
      <c r="F14" s="81">
        <v>38</v>
      </c>
      <c r="G14" s="81">
        <v>34</v>
      </c>
      <c r="H14" s="81">
        <v>18</v>
      </c>
      <c r="I14" s="81">
        <v>2</v>
      </c>
      <c r="J14" s="81">
        <v>1</v>
      </c>
      <c r="K14" s="81">
        <v>0</v>
      </c>
      <c r="L14" s="81">
        <v>6</v>
      </c>
      <c r="M14" s="7">
        <f>SUM(Table_Default__XLS_TAB_31_1[[#This Row],[CNT_BELOW_20]:[NOT_STATED]])</f>
        <v>116</v>
      </c>
      <c r="N14" s="103" t="s">
        <v>124</v>
      </c>
    </row>
    <row r="15" spans="1:18" ht="16.5" customHeight="1" thickBot="1">
      <c r="A15" s="117" t="s">
        <v>123</v>
      </c>
      <c r="B15" s="81">
        <v>0</v>
      </c>
      <c r="C15" s="81">
        <v>0</v>
      </c>
      <c r="D15" s="81">
        <v>2</v>
      </c>
      <c r="E15" s="81">
        <v>9</v>
      </c>
      <c r="F15" s="81">
        <v>16</v>
      </c>
      <c r="G15" s="81">
        <v>29</v>
      </c>
      <c r="H15" s="81">
        <v>22</v>
      </c>
      <c r="I15" s="81">
        <v>11</v>
      </c>
      <c r="J15" s="81">
        <v>2</v>
      </c>
      <c r="K15" s="81">
        <v>0</v>
      </c>
      <c r="L15" s="81">
        <v>3</v>
      </c>
      <c r="M15" s="7">
        <f>SUM(Table_Default__XLS_TAB_31_1[[#This Row],[CNT_BELOW_20]:[NOT_STATED]])</f>
        <v>94</v>
      </c>
      <c r="N15" s="103" t="s">
        <v>123</v>
      </c>
    </row>
    <row r="16" spans="1:18" ht="16.5" customHeight="1" thickBot="1">
      <c r="A16" s="117" t="s">
        <v>122</v>
      </c>
      <c r="B16" s="81">
        <v>1</v>
      </c>
      <c r="C16" s="81">
        <v>0</v>
      </c>
      <c r="D16" s="81">
        <v>0</v>
      </c>
      <c r="E16" s="81">
        <v>6</v>
      </c>
      <c r="F16" s="81">
        <v>9</v>
      </c>
      <c r="G16" s="81">
        <v>12</v>
      </c>
      <c r="H16" s="81">
        <v>18</v>
      </c>
      <c r="I16" s="81">
        <v>20</v>
      </c>
      <c r="J16" s="81">
        <v>7</v>
      </c>
      <c r="K16" s="81">
        <v>1</v>
      </c>
      <c r="L16" s="81">
        <v>3</v>
      </c>
      <c r="M16" s="7">
        <f>SUM(Table_Default__XLS_TAB_31_1[[#This Row],[CNT_BELOW_20]:[NOT_STATED]])</f>
        <v>77</v>
      </c>
      <c r="N16" s="103" t="s">
        <v>122</v>
      </c>
    </row>
    <row r="17" spans="1:14" ht="16.5" customHeight="1" thickBot="1">
      <c r="A17" s="117" t="s">
        <v>121</v>
      </c>
      <c r="B17" s="81">
        <v>0</v>
      </c>
      <c r="C17" s="81">
        <v>0</v>
      </c>
      <c r="D17" s="81">
        <v>1</v>
      </c>
      <c r="E17" s="81">
        <v>1</v>
      </c>
      <c r="F17" s="81">
        <v>2</v>
      </c>
      <c r="G17" s="81">
        <v>3</v>
      </c>
      <c r="H17" s="81">
        <v>13</v>
      </c>
      <c r="I17" s="81">
        <v>11</v>
      </c>
      <c r="J17" s="81">
        <v>10</v>
      </c>
      <c r="K17" s="81">
        <v>1</v>
      </c>
      <c r="L17" s="81">
        <v>3</v>
      </c>
      <c r="M17" s="7">
        <f>SUM(Table_Default__XLS_TAB_31_1[[#This Row],[CNT_BELOW_20]:[NOT_STATED]])</f>
        <v>45</v>
      </c>
      <c r="N17" s="103" t="s">
        <v>121</v>
      </c>
    </row>
    <row r="18" spans="1:14" ht="16.5" customHeight="1" thickBot="1">
      <c r="A18" s="117" t="s">
        <v>120</v>
      </c>
      <c r="B18" s="81">
        <v>0</v>
      </c>
      <c r="C18" s="81">
        <v>0</v>
      </c>
      <c r="D18" s="81">
        <v>1</v>
      </c>
      <c r="E18" s="81">
        <v>1</v>
      </c>
      <c r="F18" s="81">
        <v>4</v>
      </c>
      <c r="G18" s="81">
        <v>4</v>
      </c>
      <c r="H18" s="81">
        <v>7</v>
      </c>
      <c r="I18" s="81">
        <v>5</v>
      </c>
      <c r="J18" s="81">
        <v>6</v>
      </c>
      <c r="K18" s="81">
        <v>2</v>
      </c>
      <c r="L18" s="81">
        <v>0</v>
      </c>
      <c r="M18" s="7">
        <f>SUM(Table_Default__XLS_TAB_31_1[[#This Row],[CNT_BELOW_20]:[NOT_STATED]])</f>
        <v>30</v>
      </c>
      <c r="N18" s="103" t="s">
        <v>120</v>
      </c>
    </row>
    <row r="19" spans="1:14" ht="16.5" customHeight="1" thickBot="1">
      <c r="A19" s="117" t="s">
        <v>119</v>
      </c>
      <c r="B19" s="81">
        <v>1</v>
      </c>
      <c r="C19" s="81">
        <v>0</v>
      </c>
      <c r="D19" s="81">
        <v>0</v>
      </c>
      <c r="E19" s="81">
        <v>0</v>
      </c>
      <c r="F19" s="81">
        <v>0</v>
      </c>
      <c r="G19" s="81">
        <v>1</v>
      </c>
      <c r="H19" s="81">
        <v>0</v>
      </c>
      <c r="I19" s="81">
        <v>4</v>
      </c>
      <c r="J19" s="81">
        <v>3</v>
      </c>
      <c r="K19" s="81">
        <v>5</v>
      </c>
      <c r="L19" s="81">
        <v>1</v>
      </c>
      <c r="M19" s="7">
        <f>SUM(Table_Default__XLS_TAB_31_1[[#This Row],[CNT_BELOW_20]:[NOT_STATED]])</f>
        <v>15</v>
      </c>
      <c r="N19" s="103" t="s">
        <v>119</v>
      </c>
    </row>
    <row r="20" spans="1:14" ht="16.5" customHeight="1" thickBot="1">
      <c r="A20" s="117" t="s">
        <v>118</v>
      </c>
      <c r="B20" s="81">
        <v>0</v>
      </c>
      <c r="C20" s="81">
        <v>0</v>
      </c>
      <c r="D20" s="81">
        <v>1</v>
      </c>
      <c r="E20" s="81">
        <v>0</v>
      </c>
      <c r="F20" s="81">
        <v>1</v>
      </c>
      <c r="G20" s="81">
        <v>1</v>
      </c>
      <c r="H20" s="81">
        <v>1</v>
      </c>
      <c r="I20" s="81">
        <v>0</v>
      </c>
      <c r="J20" s="81">
        <v>1</v>
      </c>
      <c r="K20" s="81">
        <v>4</v>
      </c>
      <c r="L20" s="81">
        <v>0</v>
      </c>
      <c r="M20" s="7">
        <f>SUM(Table_Default__XLS_TAB_31_1[[#This Row],[CNT_BELOW_20]:[NOT_STATED]])</f>
        <v>9</v>
      </c>
      <c r="N20" s="103" t="s">
        <v>118</v>
      </c>
    </row>
    <row r="21" spans="1:14" ht="16.5" customHeight="1" thickBot="1">
      <c r="A21" s="117" t="s">
        <v>117</v>
      </c>
      <c r="B21" s="81">
        <v>0</v>
      </c>
      <c r="C21" s="81">
        <v>0</v>
      </c>
      <c r="D21" s="81">
        <v>0</v>
      </c>
      <c r="E21" s="81">
        <v>0</v>
      </c>
      <c r="F21" s="81">
        <v>0</v>
      </c>
      <c r="G21" s="81">
        <v>0</v>
      </c>
      <c r="H21" s="81">
        <v>1</v>
      </c>
      <c r="I21" s="81">
        <v>0</v>
      </c>
      <c r="J21" s="81">
        <v>2</v>
      </c>
      <c r="K21" s="81">
        <v>0</v>
      </c>
      <c r="L21" s="81">
        <v>0</v>
      </c>
      <c r="M21" s="7">
        <f>SUM(Table_Default__XLS_TAB_31_1[[#This Row],[CNT_BELOW_20]:[NOT_STATED]])</f>
        <v>3</v>
      </c>
      <c r="N21" s="103" t="s">
        <v>117</v>
      </c>
    </row>
    <row r="22" spans="1:14" ht="16.5" customHeight="1" thickBot="1">
      <c r="A22" s="118" t="s">
        <v>15</v>
      </c>
      <c r="B22" s="282">
        <v>0</v>
      </c>
      <c r="C22" s="282">
        <v>0</v>
      </c>
      <c r="D22" s="282">
        <v>0</v>
      </c>
      <c r="E22" s="282">
        <v>0</v>
      </c>
      <c r="F22" s="282">
        <v>0</v>
      </c>
      <c r="G22" s="282">
        <v>0</v>
      </c>
      <c r="H22" s="282">
        <v>0</v>
      </c>
      <c r="I22" s="282">
        <v>0</v>
      </c>
      <c r="J22" s="282">
        <v>0</v>
      </c>
      <c r="K22" s="282">
        <v>0</v>
      </c>
      <c r="L22" s="282">
        <v>0</v>
      </c>
      <c r="M22" s="7">
        <f>SUM(Table_Default__XLS_TAB_31_1[[#This Row],[CNT_BELOW_20]:[NOT_STATED]])</f>
        <v>0</v>
      </c>
      <c r="N22" s="855" t="s">
        <v>16</v>
      </c>
    </row>
    <row r="23" spans="1:14" ht="27.75" customHeight="1">
      <c r="A23" s="98" t="s">
        <v>17</v>
      </c>
      <c r="B23" s="92">
        <f t="shared" ref="B23:L23" si="0">SUM(B9:B22)</f>
        <v>7</v>
      </c>
      <c r="C23" s="92">
        <f t="shared" si="0"/>
        <v>124</v>
      </c>
      <c r="D23" s="92">
        <f t="shared" si="0"/>
        <v>264</v>
      </c>
      <c r="E23" s="92">
        <f t="shared" si="0"/>
        <v>227</v>
      </c>
      <c r="F23" s="92">
        <f t="shared" si="0"/>
        <v>154</v>
      </c>
      <c r="G23" s="92">
        <f t="shared" si="0"/>
        <v>113</v>
      </c>
      <c r="H23" s="92">
        <f t="shared" si="0"/>
        <v>88</v>
      </c>
      <c r="I23" s="92">
        <f t="shared" si="0"/>
        <v>54</v>
      </c>
      <c r="J23" s="92">
        <f t="shared" si="0"/>
        <v>32</v>
      </c>
      <c r="K23" s="92">
        <f t="shared" si="0"/>
        <v>13</v>
      </c>
      <c r="L23" s="92">
        <f t="shared" si="0"/>
        <v>39</v>
      </c>
      <c r="M23" s="92">
        <f>SUM(M9:M22)</f>
        <v>1115</v>
      </c>
      <c r="N23" s="99" t="s">
        <v>56</v>
      </c>
    </row>
  </sheetData>
  <mergeCells count="7">
    <mergeCell ref="A7:A8"/>
    <mergeCell ref="N7:N8"/>
    <mergeCell ref="B7:M7"/>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R23"/>
  <sheetViews>
    <sheetView rightToLeft="1" view="pageBreakPreview" topLeftCell="A4" zoomScaleNormal="100" zoomScaleSheetLayoutView="100" workbookViewId="0">
      <selection activeCell="M18" sqref="M18"/>
    </sheetView>
  </sheetViews>
  <sheetFormatPr defaultColWidth="9.140625" defaultRowHeight="12.75"/>
  <cols>
    <col min="1" max="1" width="21" style="1" customWidth="1"/>
    <col min="2" max="11" width="7.42578125" style="1" customWidth="1"/>
    <col min="12" max="12" width="11.140625" style="1" customWidth="1"/>
    <col min="13" max="13" width="13.42578125" style="1" customWidth="1"/>
    <col min="14" max="14" width="19.42578125" style="1" customWidth="1"/>
    <col min="15" max="16384" width="9.140625" style="1"/>
  </cols>
  <sheetData>
    <row r="1" spans="1:18" s="2" customFormat="1" ht="21.75" customHeight="1">
      <c r="A1" s="1009" t="s">
        <v>352</v>
      </c>
      <c r="B1" s="1009"/>
      <c r="C1" s="1009"/>
      <c r="D1" s="1009"/>
      <c r="E1" s="1009"/>
      <c r="F1" s="1009"/>
      <c r="G1" s="1009"/>
      <c r="H1" s="1009"/>
      <c r="I1" s="1009"/>
      <c r="J1" s="1009"/>
      <c r="K1" s="1009"/>
      <c r="L1" s="1009"/>
      <c r="M1" s="1009"/>
      <c r="N1" s="1009"/>
    </row>
    <row r="2" spans="1:18" s="2" customFormat="1" ht="15.75">
      <c r="A2" s="1036" t="s">
        <v>351</v>
      </c>
      <c r="B2" s="1036"/>
      <c r="C2" s="1036"/>
      <c r="D2" s="1036"/>
      <c r="E2" s="1036"/>
      <c r="F2" s="1036"/>
      <c r="G2" s="1036"/>
      <c r="H2" s="1036"/>
      <c r="I2" s="1036"/>
      <c r="J2" s="1036"/>
      <c r="K2" s="1036"/>
      <c r="L2" s="1036"/>
      <c r="M2" s="1036"/>
      <c r="N2" s="1036"/>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t="s">
        <v>52</v>
      </c>
      <c r="B4" s="1037"/>
      <c r="C4" s="1037"/>
      <c r="D4" s="1037"/>
      <c r="E4" s="1037"/>
      <c r="F4" s="1037"/>
      <c r="G4" s="1037"/>
      <c r="H4" s="1037"/>
      <c r="I4" s="1037"/>
      <c r="J4" s="1037"/>
      <c r="K4" s="1037"/>
      <c r="L4" s="1037"/>
      <c r="M4" s="1037"/>
      <c r="N4" s="1037"/>
    </row>
    <row r="5" spans="1:18" s="2" customFormat="1" ht="15.75">
      <c r="A5" s="361"/>
      <c r="B5" s="361"/>
      <c r="C5" s="361"/>
      <c r="D5" s="361"/>
      <c r="E5" s="361"/>
      <c r="F5" s="361"/>
      <c r="G5" s="361"/>
      <c r="H5" s="361"/>
      <c r="I5" s="361"/>
      <c r="J5" s="361"/>
      <c r="K5" s="361"/>
      <c r="L5" s="361"/>
      <c r="M5" s="361"/>
      <c r="N5" s="361"/>
    </row>
    <row r="6" spans="1:18" s="31" customFormat="1" ht="15.75">
      <c r="A6" s="373" t="s">
        <v>474</v>
      </c>
      <c r="B6" s="374"/>
      <c r="C6" s="374"/>
      <c r="D6" s="374"/>
      <c r="E6" s="374"/>
      <c r="F6" s="374"/>
      <c r="G6" s="374"/>
      <c r="H6" s="374"/>
      <c r="I6" s="374"/>
      <c r="J6" s="374"/>
      <c r="K6" s="374"/>
      <c r="L6" s="374"/>
      <c r="M6" s="374"/>
      <c r="N6" s="375" t="s">
        <v>518</v>
      </c>
    </row>
    <row r="7" spans="1:18" ht="26.25" customHeight="1" thickBot="1">
      <c r="A7" s="1099" t="s">
        <v>159</v>
      </c>
      <c r="B7" s="1087" t="s">
        <v>136</v>
      </c>
      <c r="C7" s="1087"/>
      <c r="D7" s="1087"/>
      <c r="E7" s="1087"/>
      <c r="F7" s="1087"/>
      <c r="G7" s="1087"/>
      <c r="H7" s="1087"/>
      <c r="I7" s="1087"/>
      <c r="J7" s="1087"/>
      <c r="K7" s="1087"/>
      <c r="L7" s="1087"/>
      <c r="M7" s="1087"/>
      <c r="N7" s="1106" t="s">
        <v>350</v>
      </c>
    </row>
    <row r="8" spans="1:18" ht="39.75" customHeight="1">
      <c r="A8" s="1100"/>
      <c r="B8" s="319">
        <v>-20</v>
      </c>
      <c r="C8" s="319" t="s">
        <v>128</v>
      </c>
      <c r="D8" s="319" t="s">
        <v>127</v>
      </c>
      <c r="E8" s="319" t="s">
        <v>126</v>
      </c>
      <c r="F8" s="319" t="s">
        <v>125</v>
      </c>
      <c r="G8" s="319" t="s">
        <v>124</v>
      </c>
      <c r="H8" s="319" t="s">
        <v>123</v>
      </c>
      <c r="I8" s="319" t="s">
        <v>122</v>
      </c>
      <c r="J8" s="319" t="s">
        <v>121</v>
      </c>
      <c r="K8" s="319" t="s">
        <v>133</v>
      </c>
      <c r="L8" s="328" t="s">
        <v>658</v>
      </c>
      <c r="M8" s="325" t="s">
        <v>116</v>
      </c>
      <c r="N8" s="1107"/>
    </row>
    <row r="9" spans="1:18" ht="16.5" customHeight="1" thickBot="1">
      <c r="A9" s="133" t="s">
        <v>437</v>
      </c>
      <c r="B9" s="81">
        <v>0</v>
      </c>
      <c r="C9" s="81">
        <v>0</v>
      </c>
      <c r="D9" s="81">
        <v>0</v>
      </c>
      <c r="E9" s="81">
        <v>0</v>
      </c>
      <c r="F9" s="81">
        <v>0</v>
      </c>
      <c r="G9" s="81">
        <v>0</v>
      </c>
      <c r="H9" s="81">
        <v>0</v>
      </c>
      <c r="I9" s="81">
        <v>0</v>
      </c>
      <c r="J9" s="81">
        <v>0</v>
      </c>
      <c r="K9" s="81">
        <v>0</v>
      </c>
      <c r="L9" s="81">
        <v>0</v>
      </c>
      <c r="M9" s="7">
        <f>SUM(Table_Default__XLS_TAB_31_2[[#This Row],[CNT_BELOW_20]:[NOT_STATED]])</f>
        <v>0</v>
      </c>
      <c r="N9" s="103" t="s">
        <v>437</v>
      </c>
    </row>
    <row r="10" spans="1:18" ht="16.5" customHeight="1" thickBot="1">
      <c r="A10" s="117" t="s">
        <v>128</v>
      </c>
      <c r="B10" s="81">
        <v>1</v>
      </c>
      <c r="C10" s="81">
        <v>14</v>
      </c>
      <c r="D10" s="81">
        <v>3</v>
      </c>
      <c r="E10" s="81">
        <v>1</v>
      </c>
      <c r="F10" s="81">
        <v>1</v>
      </c>
      <c r="G10" s="81">
        <v>1</v>
      </c>
      <c r="H10" s="81">
        <v>0</v>
      </c>
      <c r="I10" s="81">
        <v>0</v>
      </c>
      <c r="J10" s="81">
        <v>0</v>
      </c>
      <c r="K10" s="81">
        <v>0</v>
      </c>
      <c r="L10" s="81">
        <v>1</v>
      </c>
      <c r="M10" s="7">
        <f>SUM(Table_Default__XLS_TAB_31_2[[#This Row],[CNT_BELOW_20]:[NOT_STATED]])</f>
        <v>22</v>
      </c>
      <c r="N10" s="103" t="s">
        <v>128</v>
      </c>
    </row>
    <row r="11" spans="1:18" ht="16.5" customHeight="1" thickBot="1">
      <c r="A11" s="117" t="s">
        <v>127</v>
      </c>
      <c r="B11" s="81">
        <v>1</v>
      </c>
      <c r="C11" s="81">
        <v>16</v>
      </c>
      <c r="D11" s="81">
        <v>38</v>
      </c>
      <c r="E11" s="81">
        <v>19</v>
      </c>
      <c r="F11" s="81">
        <v>3</v>
      </c>
      <c r="G11" s="81">
        <v>1</v>
      </c>
      <c r="H11" s="81">
        <v>1</v>
      </c>
      <c r="I11" s="81">
        <v>0</v>
      </c>
      <c r="J11" s="81">
        <v>0</v>
      </c>
      <c r="K11" s="81">
        <v>0</v>
      </c>
      <c r="L11" s="81">
        <v>5</v>
      </c>
      <c r="M11" s="7">
        <f>SUM(Table_Default__XLS_TAB_31_2[[#This Row],[CNT_BELOW_20]:[NOT_STATED]])</f>
        <v>84</v>
      </c>
      <c r="N11" s="103" t="s">
        <v>127</v>
      </c>
    </row>
    <row r="12" spans="1:18" ht="16.5" customHeight="1" thickBot="1">
      <c r="A12" s="117" t="s">
        <v>126</v>
      </c>
      <c r="B12" s="81">
        <v>0</v>
      </c>
      <c r="C12" s="81">
        <v>7</v>
      </c>
      <c r="D12" s="81">
        <v>33</v>
      </c>
      <c r="E12" s="81">
        <v>49</v>
      </c>
      <c r="F12" s="81">
        <v>15</v>
      </c>
      <c r="G12" s="81">
        <v>5</v>
      </c>
      <c r="H12" s="81">
        <v>3</v>
      </c>
      <c r="I12" s="81">
        <v>3</v>
      </c>
      <c r="J12" s="81">
        <v>0</v>
      </c>
      <c r="K12" s="81">
        <v>0</v>
      </c>
      <c r="L12" s="81">
        <v>5</v>
      </c>
      <c r="M12" s="7">
        <f>SUM(Table_Default__XLS_TAB_31_2[[#This Row],[CNT_BELOW_20]:[NOT_STATED]])</f>
        <v>120</v>
      </c>
      <c r="N12" s="103" t="s">
        <v>126</v>
      </c>
    </row>
    <row r="13" spans="1:18" ht="16.5" customHeight="1" thickBot="1">
      <c r="A13" s="117" t="s">
        <v>125</v>
      </c>
      <c r="B13" s="81">
        <v>0</v>
      </c>
      <c r="C13" s="81">
        <v>3</v>
      </c>
      <c r="D13" s="81">
        <v>17</v>
      </c>
      <c r="E13" s="81">
        <v>66</v>
      </c>
      <c r="F13" s="81">
        <v>50</v>
      </c>
      <c r="G13" s="81">
        <v>18</v>
      </c>
      <c r="H13" s="81">
        <v>3</v>
      </c>
      <c r="I13" s="81">
        <v>2</v>
      </c>
      <c r="J13" s="81">
        <v>0</v>
      </c>
      <c r="K13" s="81">
        <v>0</v>
      </c>
      <c r="L13" s="81">
        <v>7</v>
      </c>
      <c r="M13" s="7">
        <f>SUM(Table_Default__XLS_TAB_31_2[[#This Row],[CNT_BELOW_20]:[NOT_STATED]])</f>
        <v>166</v>
      </c>
      <c r="N13" s="103" t="s">
        <v>125</v>
      </c>
    </row>
    <row r="14" spans="1:18" ht="16.5" customHeight="1" thickBot="1">
      <c r="A14" s="117" t="s">
        <v>124</v>
      </c>
      <c r="B14" s="81">
        <v>0</v>
      </c>
      <c r="C14" s="81">
        <v>1</v>
      </c>
      <c r="D14" s="81">
        <v>3</v>
      </c>
      <c r="E14" s="81">
        <v>20</v>
      </c>
      <c r="F14" s="81">
        <v>40</v>
      </c>
      <c r="G14" s="81">
        <v>23</v>
      </c>
      <c r="H14" s="81">
        <v>13</v>
      </c>
      <c r="I14" s="81">
        <v>3</v>
      </c>
      <c r="J14" s="81">
        <v>1</v>
      </c>
      <c r="K14" s="81">
        <v>1</v>
      </c>
      <c r="L14" s="81">
        <v>1</v>
      </c>
      <c r="M14" s="7">
        <f>SUM(Table_Default__XLS_TAB_31_2[[#This Row],[CNT_BELOW_20]:[NOT_STATED]])</f>
        <v>106</v>
      </c>
      <c r="N14" s="103" t="s">
        <v>124</v>
      </c>
    </row>
    <row r="15" spans="1:18" ht="16.5" customHeight="1" thickBot="1">
      <c r="A15" s="117" t="s">
        <v>123</v>
      </c>
      <c r="B15" s="81">
        <v>0</v>
      </c>
      <c r="C15" s="81">
        <v>1</v>
      </c>
      <c r="D15" s="81">
        <v>3</v>
      </c>
      <c r="E15" s="81">
        <v>10</v>
      </c>
      <c r="F15" s="81">
        <v>19</v>
      </c>
      <c r="G15" s="81">
        <v>32</v>
      </c>
      <c r="H15" s="81">
        <v>19</v>
      </c>
      <c r="I15" s="81">
        <v>5</v>
      </c>
      <c r="J15" s="81">
        <v>2</v>
      </c>
      <c r="K15" s="81">
        <v>0</v>
      </c>
      <c r="L15" s="81">
        <v>2</v>
      </c>
      <c r="M15" s="7">
        <f>SUM(Table_Default__XLS_TAB_31_2[[#This Row],[CNT_BELOW_20]:[NOT_STATED]])</f>
        <v>93</v>
      </c>
      <c r="N15" s="103" t="s">
        <v>123</v>
      </c>
    </row>
    <row r="16" spans="1:18" ht="16.5" customHeight="1" thickBot="1">
      <c r="A16" s="117" t="s">
        <v>122</v>
      </c>
      <c r="B16" s="81">
        <v>0</v>
      </c>
      <c r="C16" s="81">
        <v>0</v>
      </c>
      <c r="D16" s="81">
        <v>1</v>
      </c>
      <c r="E16" s="81">
        <v>1</v>
      </c>
      <c r="F16" s="81">
        <v>7</v>
      </c>
      <c r="G16" s="81">
        <v>8</v>
      </c>
      <c r="H16" s="81">
        <v>20</v>
      </c>
      <c r="I16" s="81">
        <v>7</v>
      </c>
      <c r="J16" s="81">
        <v>3</v>
      </c>
      <c r="K16" s="81">
        <v>0</v>
      </c>
      <c r="L16" s="81">
        <v>2</v>
      </c>
      <c r="M16" s="7">
        <f>SUM(Table_Default__XLS_TAB_31_2[[#This Row],[CNT_BELOW_20]:[NOT_STATED]])</f>
        <v>49</v>
      </c>
      <c r="N16" s="103" t="s">
        <v>122</v>
      </c>
    </row>
    <row r="17" spans="1:14" ht="16.5" customHeight="1" thickBot="1">
      <c r="A17" s="117" t="s">
        <v>121</v>
      </c>
      <c r="B17" s="81">
        <v>0</v>
      </c>
      <c r="C17" s="81">
        <v>0</v>
      </c>
      <c r="D17" s="81">
        <v>0</v>
      </c>
      <c r="E17" s="81">
        <v>0</v>
      </c>
      <c r="F17" s="81">
        <v>3</v>
      </c>
      <c r="G17" s="81">
        <v>3</v>
      </c>
      <c r="H17" s="81">
        <v>11</v>
      </c>
      <c r="I17" s="81">
        <v>11</v>
      </c>
      <c r="J17" s="81">
        <v>4</v>
      </c>
      <c r="K17" s="81">
        <v>1</v>
      </c>
      <c r="L17" s="81">
        <v>1</v>
      </c>
      <c r="M17" s="7">
        <f>SUM(Table_Default__XLS_TAB_31_2[[#This Row],[CNT_BELOW_20]:[NOT_STATED]])</f>
        <v>34</v>
      </c>
      <c r="N17" s="103" t="s">
        <v>121</v>
      </c>
    </row>
    <row r="18" spans="1:14" ht="16.5" customHeight="1" thickBot="1">
      <c r="A18" s="117" t="s">
        <v>120</v>
      </c>
      <c r="B18" s="81">
        <v>0</v>
      </c>
      <c r="C18" s="81">
        <v>0</v>
      </c>
      <c r="D18" s="81">
        <v>0</v>
      </c>
      <c r="E18" s="81">
        <v>0</v>
      </c>
      <c r="F18" s="81">
        <v>0</v>
      </c>
      <c r="G18" s="81">
        <v>3</v>
      </c>
      <c r="H18" s="81">
        <v>4</v>
      </c>
      <c r="I18" s="81">
        <v>3</v>
      </c>
      <c r="J18" s="81">
        <v>1</v>
      </c>
      <c r="K18" s="81">
        <v>3</v>
      </c>
      <c r="L18" s="81">
        <v>0</v>
      </c>
      <c r="M18" s="7">
        <f>SUM(Table_Default__XLS_TAB_31_2[[#This Row],[CNT_BELOW_20]:[NOT_STATED]])</f>
        <v>14</v>
      </c>
      <c r="N18" s="103" t="s">
        <v>120</v>
      </c>
    </row>
    <row r="19" spans="1:14" ht="16.5" customHeight="1" thickBot="1">
      <c r="A19" s="117" t="s">
        <v>119</v>
      </c>
      <c r="B19" s="81">
        <v>0</v>
      </c>
      <c r="C19" s="81">
        <v>0</v>
      </c>
      <c r="D19" s="81">
        <v>0</v>
      </c>
      <c r="E19" s="81">
        <v>0</v>
      </c>
      <c r="F19" s="81">
        <v>0</v>
      </c>
      <c r="G19" s="81">
        <v>1</v>
      </c>
      <c r="H19" s="81">
        <v>1</v>
      </c>
      <c r="I19" s="81">
        <v>0</v>
      </c>
      <c r="J19" s="81">
        <v>1</v>
      </c>
      <c r="K19" s="81">
        <v>0</v>
      </c>
      <c r="L19" s="81">
        <v>0</v>
      </c>
      <c r="M19" s="7">
        <f>SUM(Table_Default__XLS_TAB_31_2[[#This Row],[CNT_BELOW_20]:[NOT_STATED]])</f>
        <v>3</v>
      </c>
      <c r="N19" s="103" t="s">
        <v>119</v>
      </c>
    </row>
    <row r="20" spans="1:14" ht="16.5" customHeight="1" thickBot="1">
      <c r="A20" s="117" t="s">
        <v>118</v>
      </c>
      <c r="B20" s="81">
        <v>0</v>
      </c>
      <c r="C20" s="81">
        <v>0</v>
      </c>
      <c r="D20" s="81">
        <v>0</v>
      </c>
      <c r="E20" s="81">
        <v>0</v>
      </c>
      <c r="F20" s="81">
        <v>0</v>
      </c>
      <c r="G20" s="81">
        <v>0</v>
      </c>
      <c r="H20" s="81">
        <v>0</v>
      </c>
      <c r="I20" s="81">
        <v>0</v>
      </c>
      <c r="J20" s="81">
        <v>0</v>
      </c>
      <c r="K20" s="81">
        <v>2</v>
      </c>
      <c r="L20" s="81">
        <v>0</v>
      </c>
      <c r="M20" s="7">
        <f>SUM(Table_Default__XLS_TAB_31_2[[#This Row],[CNT_BELOW_20]:[NOT_STATED]])</f>
        <v>2</v>
      </c>
      <c r="N20" s="103" t="s">
        <v>118</v>
      </c>
    </row>
    <row r="21" spans="1:14" ht="16.5" customHeight="1" thickBot="1">
      <c r="A21" s="117" t="s">
        <v>117</v>
      </c>
      <c r="B21" s="81">
        <v>0</v>
      </c>
      <c r="C21" s="81">
        <v>0</v>
      </c>
      <c r="D21" s="81">
        <v>0</v>
      </c>
      <c r="E21" s="81">
        <v>0</v>
      </c>
      <c r="F21" s="81">
        <v>0</v>
      </c>
      <c r="G21" s="81">
        <v>0</v>
      </c>
      <c r="H21" s="81">
        <v>0</v>
      </c>
      <c r="I21" s="81">
        <v>0</v>
      </c>
      <c r="J21" s="81">
        <v>0</v>
      </c>
      <c r="K21" s="81">
        <v>2</v>
      </c>
      <c r="L21" s="81">
        <v>0</v>
      </c>
      <c r="M21" s="7">
        <f>SUM(Table_Default__XLS_TAB_31_2[[#This Row],[CNT_BELOW_20]:[NOT_STATED]])</f>
        <v>2</v>
      </c>
      <c r="N21" s="103" t="s">
        <v>117</v>
      </c>
    </row>
    <row r="22" spans="1:14" ht="16.5" customHeight="1" thickBot="1">
      <c r="A22" s="118" t="s">
        <v>15</v>
      </c>
      <c r="B22" s="282">
        <v>0</v>
      </c>
      <c r="C22" s="282">
        <v>0</v>
      </c>
      <c r="D22" s="282">
        <v>2</v>
      </c>
      <c r="E22" s="282">
        <v>3</v>
      </c>
      <c r="F22" s="282">
        <v>8</v>
      </c>
      <c r="G22" s="282">
        <v>4</v>
      </c>
      <c r="H22" s="282">
        <v>2</v>
      </c>
      <c r="I22" s="282">
        <v>2</v>
      </c>
      <c r="J22" s="282">
        <v>0</v>
      </c>
      <c r="K22" s="282">
        <v>0</v>
      </c>
      <c r="L22" s="282">
        <v>2</v>
      </c>
      <c r="M22" s="7">
        <f>SUM(Table_Default__XLS_TAB_31_2[[#This Row],[CNT_BELOW_20]:[NOT_STATED]])</f>
        <v>23</v>
      </c>
      <c r="N22" s="855" t="s">
        <v>16</v>
      </c>
    </row>
    <row r="23" spans="1:14" ht="27.75" customHeight="1">
      <c r="A23" s="98" t="s">
        <v>17</v>
      </c>
      <c r="B23" s="92">
        <f t="shared" ref="B23:M23" si="0">SUM(B9:B22)</f>
        <v>2</v>
      </c>
      <c r="C23" s="92">
        <f t="shared" si="0"/>
        <v>42</v>
      </c>
      <c r="D23" s="92">
        <f t="shared" si="0"/>
        <v>100</v>
      </c>
      <c r="E23" s="92">
        <f t="shared" si="0"/>
        <v>169</v>
      </c>
      <c r="F23" s="92">
        <f t="shared" si="0"/>
        <v>146</v>
      </c>
      <c r="G23" s="92">
        <f t="shared" si="0"/>
        <v>99</v>
      </c>
      <c r="H23" s="92">
        <f t="shared" si="0"/>
        <v>77</v>
      </c>
      <c r="I23" s="92">
        <f t="shared" si="0"/>
        <v>36</v>
      </c>
      <c r="J23" s="92">
        <f t="shared" si="0"/>
        <v>12</v>
      </c>
      <c r="K23" s="92">
        <f t="shared" si="0"/>
        <v>9</v>
      </c>
      <c r="L23" s="92">
        <f t="shared" si="0"/>
        <v>26</v>
      </c>
      <c r="M23" s="92">
        <f t="shared" si="0"/>
        <v>718</v>
      </c>
      <c r="N23" s="99" t="s">
        <v>56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R23"/>
  <sheetViews>
    <sheetView rightToLeft="1" view="pageBreakPreview" topLeftCell="A4" zoomScaleNormal="100" zoomScaleSheetLayoutView="100" workbookViewId="0">
      <selection activeCell="M22" sqref="M22"/>
    </sheetView>
  </sheetViews>
  <sheetFormatPr defaultColWidth="9.140625" defaultRowHeight="12.75"/>
  <cols>
    <col min="1" max="1" width="21" style="1" customWidth="1"/>
    <col min="2" max="11" width="7.42578125" style="1" customWidth="1"/>
    <col min="12" max="12" width="11.140625" style="1" customWidth="1"/>
    <col min="13" max="13" width="13.42578125" style="1" customWidth="1"/>
    <col min="14" max="14" width="19.42578125" style="1" customWidth="1"/>
    <col min="15" max="16384" width="9.140625" style="1"/>
  </cols>
  <sheetData>
    <row r="1" spans="1:18" s="2" customFormat="1" ht="21.75" customHeight="1">
      <c r="A1" s="1009" t="s">
        <v>352</v>
      </c>
      <c r="B1" s="1009"/>
      <c r="C1" s="1009"/>
      <c r="D1" s="1009"/>
      <c r="E1" s="1009"/>
      <c r="F1" s="1009"/>
      <c r="G1" s="1009"/>
      <c r="H1" s="1009"/>
      <c r="I1" s="1009"/>
      <c r="J1" s="1009"/>
      <c r="K1" s="1009"/>
      <c r="L1" s="1009"/>
      <c r="M1" s="1009"/>
      <c r="N1" s="1009"/>
    </row>
    <row r="2" spans="1:18" s="2" customFormat="1" ht="15.75">
      <c r="A2" s="1036" t="s">
        <v>351</v>
      </c>
      <c r="B2" s="1036"/>
      <c r="C2" s="1036"/>
      <c r="D2" s="1036"/>
      <c r="E2" s="1036"/>
      <c r="F2" s="1036"/>
      <c r="G2" s="1036"/>
      <c r="H2" s="1036"/>
      <c r="I2" s="1036"/>
      <c r="J2" s="1036"/>
      <c r="K2" s="1036"/>
      <c r="L2" s="1036"/>
      <c r="M2" s="1036"/>
      <c r="N2" s="1036"/>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t="s">
        <v>1</v>
      </c>
      <c r="B4" s="1037"/>
      <c r="C4" s="1037"/>
      <c r="D4" s="1037"/>
      <c r="E4" s="1037"/>
      <c r="F4" s="1037"/>
      <c r="G4" s="1037"/>
      <c r="H4" s="1037"/>
      <c r="I4" s="1037"/>
      <c r="J4" s="1037"/>
      <c r="K4" s="1037"/>
      <c r="L4" s="1037"/>
      <c r="M4" s="1037"/>
      <c r="N4" s="1037"/>
    </row>
    <row r="5" spans="1:18" s="2" customFormat="1" ht="15.75">
      <c r="A5" s="361"/>
      <c r="B5" s="361"/>
      <c r="C5" s="361"/>
      <c r="D5" s="361"/>
      <c r="E5" s="361"/>
      <c r="F5" s="361"/>
      <c r="G5" s="361"/>
      <c r="H5" s="361"/>
      <c r="I5" s="361"/>
      <c r="J5" s="361"/>
      <c r="K5" s="361"/>
      <c r="L5" s="361"/>
      <c r="M5" s="361"/>
      <c r="N5" s="361"/>
    </row>
    <row r="6" spans="1:18" s="31" customFormat="1" ht="15.75">
      <c r="A6" s="373" t="s">
        <v>473</v>
      </c>
      <c r="B6" s="374"/>
      <c r="C6" s="374"/>
      <c r="D6" s="374"/>
      <c r="E6" s="374"/>
      <c r="F6" s="374"/>
      <c r="G6" s="374"/>
      <c r="H6" s="374"/>
      <c r="I6" s="374"/>
      <c r="J6" s="374"/>
      <c r="K6" s="374"/>
      <c r="L6" s="374"/>
      <c r="M6" s="374"/>
      <c r="N6" s="375" t="s">
        <v>517</v>
      </c>
    </row>
    <row r="7" spans="1:18" ht="26.25" customHeight="1" thickBot="1">
      <c r="A7" s="1099" t="s">
        <v>159</v>
      </c>
      <c r="B7" s="1087" t="s">
        <v>136</v>
      </c>
      <c r="C7" s="1087"/>
      <c r="D7" s="1087"/>
      <c r="E7" s="1087"/>
      <c r="F7" s="1087"/>
      <c r="G7" s="1087"/>
      <c r="H7" s="1087"/>
      <c r="I7" s="1087"/>
      <c r="J7" s="1087"/>
      <c r="K7" s="1087"/>
      <c r="L7" s="1087"/>
      <c r="M7" s="1087"/>
      <c r="N7" s="1106" t="s">
        <v>350</v>
      </c>
    </row>
    <row r="8" spans="1:18" ht="39.75" customHeight="1">
      <c r="A8" s="1100"/>
      <c r="B8" s="319">
        <v>-20</v>
      </c>
      <c r="C8" s="319" t="s">
        <v>128</v>
      </c>
      <c r="D8" s="319" t="s">
        <v>127</v>
      </c>
      <c r="E8" s="319" t="s">
        <v>126</v>
      </c>
      <c r="F8" s="319" t="s">
        <v>125</v>
      </c>
      <c r="G8" s="319" t="s">
        <v>124</v>
      </c>
      <c r="H8" s="319" t="s">
        <v>123</v>
      </c>
      <c r="I8" s="319" t="s">
        <v>122</v>
      </c>
      <c r="J8" s="319" t="s">
        <v>121</v>
      </c>
      <c r="K8" s="319" t="s">
        <v>133</v>
      </c>
      <c r="L8" s="328" t="s">
        <v>658</v>
      </c>
      <c r="M8" s="325" t="s">
        <v>116</v>
      </c>
      <c r="N8" s="1107"/>
    </row>
    <row r="9" spans="1:18" ht="16.5" customHeight="1" thickBot="1">
      <c r="A9" s="133" t="s">
        <v>437</v>
      </c>
      <c r="B9" s="81">
        <v>0</v>
      </c>
      <c r="C9" s="81">
        <v>0</v>
      </c>
      <c r="D9" s="81">
        <v>0</v>
      </c>
      <c r="E9" s="81">
        <v>0</v>
      </c>
      <c r="F9" s="81">
        <v>0</v>
      </c>
      <c r="G9" s="81">
        <v>0</v>
      </c>
      <c r="H9" s="81">
        <v>0</v>
      </c>
      <c r="I9" s="81">
        <v>0</v>
      </c>
      <c r="J9" s="81">
        <v>0</v>
      </c>
      <c r="K9" s="81">
        <v>0</v>
      </c>
      <c r="L9" s="81">
        <v>1</v>
      </c>
      <c r="M9" s="7">
        <f>SUM(Table_Default__XLS_TAB_31_3[[#This Row],[CNT_BELOW_20]:[NOT_STATED]])</f>
        <v>1</v>
      </c>
      <c r="N9" s="103" t="s">
        <v>437</v>
      </c>
    </row>
    <row r="10" spans="1:18" ht="16.5" customHeight="1" thickBot="1">
      <c r="A10" s="117" t="s">
        <v>128</v>
      </c>
      <c r="B10" s="81">
        <v>4</v>
      </c>
      <c r="C10" s="81">
        <v>65</v>
      </c>
      <c r="D10" s="81">
        <v>33</v>
      </c>
      <c r="E10" s="81">
        <v>5</v>
      </c>
      <c r="F10" s="81">
        <v>1</v>
      </c>
      <c r="G10" s="81">
        <v>1</v>
      </c>
      <c r="H10" s="81">
        <v>0</v>
      </c>
      <c r="I10" s="81">
        <v>0</v>
      </c>
      <c r="J10" s="81">
        <v>0</v>
      </c>
      <c r="K10" s="81">
        <v>0</v>
      </c>
      <c r="L10" s="81">
        <v>3</v>
      </c>
      <c r="M10" s="7">
        <f>SUM(Table_Default__XLS_TAB_31_3[[#This Row],[CNT_BELOW_20]:[NOT_STATED]])</f>
        <v>112</v>
      </c>
      <c r="N10" s="103" t="s">
        <v>128</v>
      </c>
    </row>
    <row r="11" spans="1:18" ht="16.5" customHeight="1" thickBot="1">
      <c r="A11" s="117" t="s">
        <v>127</v>
      </c>
      <c r="B11" s="81">
        <v>2</v>
      </c>
      <c r="C11" s="81">
        <v>75</v>
      </c>
      <c r="D11" s="81">
        <v>182</v>
      </c>
      <c r="E11" s="81">
        <v>59</v>
      </c>
      <c r="F11" s="81">
        <v>9</v>
      </c>
      <c r="G11" s="81">
        <v>2</v>
      </c>
      <c r="H11" s="81">
        <v>1</v>
      </c>
      <c r="I11" s="81">
        <v>0</v>
      </c>
      <c r="J11" s="81">
        <v>0</v>
      </c>
      <c r="K11" s="81">
        <v>0</v>
      </c>
      <c r="L11" s="81">
        <v>14</v>
      </c>
      <c r="M11" s="7">
        <f>SUM(Table_Default__XLS_TAB_31_3[[#This Row],[CNT_BELOW_20]:[NOT_STATED]])</f>
        <v>344</v>
      </c>
      <c r="N11" s="103" t="s">
        <v>127</v>
      </c>
    </row>
    <row r="12" spans="1:18" ht="16.5" customHeight="1" thickBot="1">
      <c r="A12" s="117" t="s">
        <v>126</v>
      </c>
      <c r="B12" s="81">
        <v>1</v>
      </c>
      <c r="C12" s="81">
        <v>19</v>
      </c>
      <c r="D12" s="81">
        <v>96</v>
      </c>
      <c r="E12" s="81">
        <v>146</v>
      </c>
      <c r="F12" s="81">
        <v>40</v>
      </c>
      <c r="G12" s="81">
        <v>9</v>
      </c>
      <c r="H12" s="81">
        <v>6</v>
      </c>
      <c r="I12" s="81">
        <v>3</v>
      </c>
      <c r="J12" s="81">
        <v>0</v>
      </c>
      <c r="K12" s="81">
        <v>0</v>
      </c>
      <c r="L12" s="81">
        <v>10</v>
      </c>
      <c r="M12" s="7">
        <f>SUM(Table_Default__XLS_TAB_31_3[[#This Row],[CNT_BELOW_20]:[NOT_STATED]])</f>
        <v>330</v>
      </c>
      <c r="N12" s="103" t="s">
        <v>126</v>
      </c>
    </row>
    <row r="13" spans="1:18" ht="16.5" customHeight="1" thickBot="1">
      <c r="A13" s="117" t="s">
        <v>125</v>
      </c>
      <c r="B13" s="81">
        <v>0</v>
      </c>
      <c r="C13" s="81">
        <v>4</v>
      </c>
      <c r="D13" s="81">
        <v>37</v>
      </c>
      <c r="E13" s="81">
        <v>121</v>
      </c>
      <c r="F13" s="81">
        <v>103</v>
      </c>
      <c r="G13" s="81">
        <v>42</v>
      </c>
      <c r="H13" s="81">
        <v>8</v>
      </c>
      <c r="I13" s="81">
        <v>3</v>
      </c>
      <c r="J13" s="81">
        <v>0</v>
      </c>
      <c r="K13" s="81">
        <v>0</v>
      </c>
      <c r="L13" s="81">
        <v>13</v>
      </c>
      <c r="M13" s="7">
        <f>SUM(Table_Default__XLS_TAB_31_3[[#This Row],[CNT_BELOW_20]:[NOT_STATED]])</f>
        <v>331</v>
      </c>
      <c r="N13" s="103" t="s">
        <v>125</v>
      </c>
    </row>
    <row r="14" spans="1:18" ht="16.5" customHeight="1" thickBot="1">
      <c r="A14" s="117" t="s">
        <v>124</v>
      </c>
      <c r="B14" s="81">
        <v>0</v>
      </c>
      <c r="C14" s="81">
        <v>2</v>
      </c>
      <c r="D14" s="81">
        <v>5</v>
      </c>
      <c r="E14" s="81">
        <v>34</v>
      </c>
      <c r="F14" s="81">
        <v>78</v>
      </c>
      <c r="G14" s="81">
        <v>57</v>
      </c>
      <c r="H14" s="81">
        <v>31</v>
      </c>
      <c r="I14" s="81">
        <v>5</v>
      </c>
      <c r="J14" s="81">
        <v>2</v>
      </c>
      <c r="K14" s="81">
        <v>1</v>
      </c>
      <c r="L14" s="81">
        <v>7</v>
      </c>
      <c r="M14" s="7">
        <f>SUM(Table_Default__XLS_TAB_31_3[[#This Row],[CNT_BELOW_20]:[NOT_STATED]])</f>
        <v>222</v>
      </c>
      <c r="N14" s="103" t="s">
        <v>124</v>
      </c>
    </row>
    <row r="15" spans="1:18" ht="16.5" customHeight="1" thickBot="1">
      <c r="A15" s="117" t="s">
        <v>123</v>
      </c>
      <c r="B15" s="81">
        <v>0</v>
      </c>
      <c r="C15" s="81">
        <v>1</v>
      </c>
      <c r="D15" s="81">
        <v>5</v>
      </c>
      <c r="E15" s="81">
        <v>19</v>
      </c>
      <c r="F15" s="81">
        <v>35</v>
      </c>
      <c r="G15" s="81">
        <v>61</v>
      </c>
      <c r="H15" s="81">
        <v>41</v>
      </c>
      <c r="I15" s="81">
        <v>16</v>
      </c>
      <c r="J15" s="81">
        <v>4</v>
      </c>
      <c r="K15" s="81">
        <v>0</v>
      </c>
      <c r="L15" s="81">
        <v>5</v>
      </c>
      <c r="M15" s="7">
        <f>SUM(Table_Default__XLS_TAB_31_3[[#This Row],[CNT_BELOW_20]:[NOT_STATED]])</f>
        <v>187</v>
      </c>
      <c r="N15" s="103" t="s">
        <v>123</v>
      </c>
    </row>
    <row r="16" spans="1:18" ht="16.5" customHeight="1" thickBot="1">
      <c r="A16" s="117" t="s">
        <v>122</v>
      </c>
      <c r="B16" s="81">
        <v>1</v>
      </c>
      <c r="C16" s="81">
        <v>0</v>
      </c>
      <c r="D16" s="81">
        <v>1</v>
      </c>
      <c r="E16" s="81">
        <v>7</v>
      </c>
      <c r="F16" s="81">
        <v>16</v>
      </c>
      <c r="G16" s="81">
        <v>20</v>
      </c>
      <c r="H16" s="81">
        <v>38</v>
      </c>
      <c r="I16" s="81">
        <v>27</v>
      </c>
      <c r="J16" s="81">
        <v>10</v>
      </c>
      <c r="K16" s="81">
        <v>1</v>
      </c>
      <c r="L16" s="81">
        <v>5</v>
      </c>
      <c r="M16" s="7">
        <f>SUM(Table_Default__XLS_TAB_31_3[[#This Row],[CNT_BELOW_20]:[NOT_STATED]])</f>
        <v>126</v>
      </c>
      <c r="N16" s="103" t="s">
        <v>122</v>
      </c>
    </row>
    <row r="17" spans="1:14" ht="16.5" customHeight="1" thickBot="1">
      <c r="A17" s="117" t="s">
        <v>121</v>
      </c>
      <c r="B17" s="81">
        <v>0</v>
      </c>
      <c r="C17" s="81">
        <v>0</v>
      </c>
      <c r="D17" s="81">
        <v>1</v>
      </c>
      <c r="E17" s="81">
        <v>1</v>
      </c>
      <c r="F17" s="81">
        <v>5</v>
      </c>
      <c r="G17" s="81">
        <v>6</v>
      </c>
      <c r="H17" s="81">
        <v>24</v>
      </c>
      <c r="I17" s="81">
        <v>22</v>
      </c>
      <c r="J17" s="81">
        <v>14</v>
      </c>
      <c r="K17" s="81">
        <v>2</v>
      </c>
      <c r="L17" s="81">
        <v>4</v>
      </c>
      <c r="M17" s="7">
        <f>SUM(Table_Default__XLS_TAB_31_3[[#This Row],[CNT_BELOW_20]:[NOT_STATED]])</f>
        <v>79</v>
      </c>
      <c r="N17" s="103" t="s">
        <v>121</v>
      </c>
    </row>
    <row r="18" spans="1:14" ht="16.5" customHeight="1" thickBot="1">
      <c r="A18" s="117" t="s">
        <v>120</v>
      </c>
      <c r="B18" s="81">
        <v>0</v>
      </c>
      <c r="C18" s="81">
        <v>0</v>
      </c>
      <c r="D18" s="81">
        <v>1</v>
      </c>
      <c r="E18" s="81">
        <v>1</v>
      </c>
      <c r="F18" s="81">
        <v>4</v>
      </c>
      <c r="G18" s="81">
        <v>7</v>
      </c>
      <c r="H18" s="81">
        <v>11</v>
      </c>
      <c r="I18" s="81">
        <v>8</v>
      </c>
      <c r="J18" s="81">
        <v>7</v>
      </c>
      <c r="K18" s="81">
        <v>5</v>
      </c>
      <c r="L18" s="81">
        <v>0</v>
      </c>
      <c r="M18" s="7">
        <f>SUM(Table_Default__XLS_TAB_31_3[[#This Row],[CNT_BELOW_20]:[NOT_STATED]])</f>
        <v>44</v>
      </c>
      <c r="N18" s="103" t="s">
        <v>120</v>
      </c>
    </row>
    <row r="19" spans="1:14" ht="16.5" customHeight="1" thickBot="1">
      <c r="A19" s="117" t="s">
        <v>119</v>
      </c>
      <c r="B19" s="81">
        <v>1</v>
      </c>
      <c r="C19" s="81">
        <v>0</v>
      </c>
      <c r="D19" s="81">
        <v>0</v>
      </c>
      <c r="E19" s="81">
        <v>0</v>
      </c>
      <c r="F19" s="81">
        <v>0</v>
      </c>
      <c r="G19" s="81">
        <v>2</v>
      </c>
      <c r="H19" s="81">
        <v>1</v>
      </c>
      <c r="I19" s="81">
        <v>4</v>
      </c>
      <c r="J19" s="81">
        <v>4</v>
      </c>
      <c r="K19" s="81">
        <v>5</v>
      </c>
      <c r="L19" s="81">
        <v>1</v>
      </c>
      <c r="M19" s="7">
        <f>SUM(Table_Default__XLS_TAB_31_3[[#This Row],[CNT_BELOW_20]:[NOT_STATED]])</f>
        <v>18</v>
      </c>
      <c r="N19" s="103" t="s">
        <v>119</v>
      </c>
    </row>
    <row r="20" spans="1:14" ht="16.5" customHeight="1" thickBot="1">
      <c r="A20" s="117" t="s">
        <v>118</v>
      </c>
      <c r="B20" s="81">
        <v>0</v>
      </c>
      <c r="C20" s="81">
        <v>0</v>
      </c>
      <c r="D20" s="81">
        <v>1</v>
      </c>
      <c r="E20" s="81">
        <v>0</v>
      </c>
      <c r="F20" s="81">
        <v>1</v>
      </c>
      <c r="G20" s="81">
        <v>1</v>
      </c>
      <c r="H20" s="81">
        <v>1</v>
      </c>
      <c r="I20" s="81">
        <v>0</v>
      </c>
      <c r="J20" s="81">
        <v>1</v>
      </c>
      <c r="K20" s="81">
        <v>6</v>
      </c>
      <c r="L20" s="81">
        <v>0</v>
      </c>
      <c r="M20" s="7">
        <f>SUM(Table_Default__XLS_TAB_31_3[[#This Row],[CNT_BELOW_20]:[NOT_STATED]])</f>
        <v>11</v>
      </c>
      <c r="N20" s="103" t="s">
        <v>118</v>
      </c>
    </row>
    <row r="21" spans="1:14" ht="16.5" customHeight="1" thickBot="1">
      <c r="A21" s="117" t="s">
        <v>117</v>
      </c>
      <c r="B21" s="81">
        <v>0</v>
      </c>
      <c r="C21" s="81">
        <v>0</v>
      </c>
      <c r="D21" s="81">
        <v>0</v>
      </c>
      <c r="E21" s="81">
        <v>0</v>
      </c>
      <c r="F21" s="81">
        <v>0</v>
      </c>
      <c r="G21" s="81">
        <v>0</v>
      </c>
      <c r="H21" s="81">
        <v>1</v>
      </c>
      <c r="I21" s="81">
        <v>0</v>
      </c>
      <c r="J21" s="81">
        <v>2</v>
      </c>
      <c r="K21" s="81">
        <v>2</v>
      </c>
      <c r="L21" s="81">
        <v>0</v>
      </c>
      <c r="M21" s="7">
        <f>SUM(Table_Default__XLS_TAB_31_3[[#This Row],[CNT_BELOW_20]:[NOT_STATED]])</f>
        <v>5</v>
      </c>
      <c r="N21" s="103" t="s">
        <v>117</v>
      </c>
    </row>
    <row r="22" spans="1:14" ht="16.5" customHeight="1" thickBot="1">
      <c r="A22" s="118" t="s">
        <v>15</v>
      </c>
      <c r="B22" s="282">
        <v>0</v>
      </c>
      <c r="C22" s="282">
        <v>0</v>
      </c>
      <c r="D22" s="282">
        <v>2</v>
      </c>
      <c r="E22" s="282">
        <v>3</v>
      </c>
      <c r="F22" s="282">
        <v>8</v>
      </c>
      <c r="G22" s="282">
        <v>4</v>
      </c>
      <c r="H22" s="282">
        <v>2</v>
      </c>
      <c r="I22" s="282">
        <v>2</v>
      </c>
      <c r="J22" s="282">
        <v>0</v>
      </c>
      <c r="K22" s="282">
        <v>0</v>
      </c>
      <c r="L22" s="282">
        <v>2</v>
      </c>
      <c r="M22" s="7">
        <f>SUM(Table_Default__XLS_TAB_31_3[[#This Row],[CNT_BELOW_20]:[NOT_STATED]])</f>
        <v>23</v>
      </c>
      <c r="N22" s="855" t="s">
        <v>16</v>
      </c>
    </row>
    <row r="23" spans="1:14" ht="27.75" customHeight="1">
      <c r="A23" s="98" t="s">
        <v>17</v>
      </c>
      <c r="B23" s="92">
        <f t="shared" ref="B23:M23" si="0">SUM(B9:B22)</f>
        <v>9</v>
      </c>
      <c r="C23" s="92">
        <f t="shared" si="0"/>
        <v>166</v>
      </c>
      <c r="D23" s="92">
        <f t="shared" si="0"/>
        <v>364</v>
      </c>
      <c r="E23" s="92">
        <f t="shared" si="0"/>
        <v>396</v>
      </c>
      <c r="F23" s="92">
        <f t="shared" si="0"/>
        <v>300</v>
      </c>
      <c r="G23" s="92">
        <f t="shared" si="0"/>
        <v>212</v>
      </c>
      <c r="H23" s="92">
        <f t="shared" si="0"/>
        <v>165</v>
      </c>
      <c r="I23" s="92">
        <f t="shared" si="0"/>
        <v>90</v>
      </c>
      <c r="J23" s="92">
        <f t="shared" si="0"/>
        <v>44</v>
      </c>
      <c r="K23" s="92">
        <f t="shared" si="0"/>
        <v>22</v>
      </c>
      <c r="L23" s="92">
        <f t="shared" si="0"/>
        <v>65</v>
      </c>
      <c r="M23" s="92">
        <f t="shared" si="0"/>
        <v>1833</v>
      </c>
      <c r="N23" s="99" t="s">
        <v>56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U14"/>
  <sheetViews>
    <sheetView rightToLeft="1" view="pageBreakPreview" zoomScaleNormal="100" zoomScaleSheetLayoutView="100" workbookViewId="0">
      <selection activeCell="M18" sqref="M18"/>
    </sheetView>
  </sheetViews>
  <sheetFormatPr defaultColWidth="9.140625" defaultRowHeight="12.75"/>
  <cols>
    <col min="1" max="1" width="19.42578125" style="1" customWidth="1"/>
    <col min="2" max="13" width="6.85546875" style="1" customWidth="1"/>
    <col min="14" max="14" width="5.42578125" style="1" customWidth="1"/>
    <col min="15" max="15" width="10.140625" style="1" customWidth="1"/>
    <col min="16" max="16" width="8" style="1" customWidth="1"/>
    <col min="17" max="17" width="20.42578125" style="1" customWidth="1"/>
    <col min="18" max="16384" width="9.140625" style="1"/>
  </cols>
  <sheetData>
    <row r="1" spans="1:21" s="2" customFormat="1" ht="21.75" customHeight="1">
      <c r="A1" s="1009" t="s">
        <v>354</v>
      </c>
      <c r="B1" s="1009"/>
      <c r="C1" s="1009"/>
      <c r="D1" s="1009"/>
      <c r="E1" s="1009"/>
      <c r="F1" s="1009"/>
      <c r="G1" s="1009"/>
      <c r="H1" s="1009"/>
      <c r="I1" s="1009"/>
      <c r="J1" s="1009"/>
      <c r="K1" s="1009"/>
      <c r="L1" s="1009"/>
      <c r="M1" s="1009"/>
      <c r="N1" s="1009"/>
      <c r="O1" s="1009"/>
      <c r="P1" s="1009"/>
      <c r="Q1" s="1009"/>
      <c r="R1" s="59"/>
      <c r="S1" s="59"/>
    </row>
    <row r="2" spans="1:21" s="2" customFormat="1" ht="15.75" customHeight="1">
      <c r="A2" s="1037" t="s">
        <v>353</v>
      </c>
      <c r="B2" s="1037"/>
      <c r="C2" s="1037"/>
      <c r="D2" s="1037"/>
      <c r="E2" s="1037"/>
      <c r="F2" s="1037"/>
      <c r="G2" s="1037"/>
      <c r="H2" s="1037"/>
      <c r="I2" s="1037"/>
      <c r="J2" s="1037"/>
      <c r="K2" s="1037"/>
      <c r="L2" s="1037"/>
      <c r="M2" s="1037"/>
      <c r="N2" s="1037"/>
      <c r="O2" s="1037"/>
      <c r="P2" s="1037"/>
      <c r="Q2" s="1037"/>
      <c r="R2" s="58"/>
      <c r="S2" s="58"/>
    </row>
    <row r="3" spans="1:21" s="2" customFormat="1" ht="18" customHeight="1">
      <c r="A3" s="1037">
        <v>2019</v>
      </c>
      <c r="B3" s="1037"/>
      <c r="C3" s="1037"/>
      <c r="D3" s="1037"/>
      <c r="E3" s="1037"/>
      <c r="F3" s="1037"/>
      <c r="G3" s="1037"/>
      <c r="H3" s="1037"/>
      <c r="I3" s="1037"/>
      <c r="J3" s="1037"/>
      <c r="K3" s="1037"/>
      <c r="L3" s="1037"/>
      <c r="M3" s="1037"/>
      <c r="N3" s="1037"/>
      <c r="O3" s="1037"/>
      <c r="P3" s="1037"/>
      <c r="Q3" s="1037"/>
      <c r="R3" s="57"/>
      <c r="S3" s="57"/>
      <c r="T3" s="57"/>
      <c r="U3" s="57"/>
    </row>
    <row r="4" spans="1:21" s="2" customFormat="1" ht="15.75">
      <c r="A4" s="1037"/>
      <c r="B4" s="1037"/>
      <c r="C4" s="1037"/>
      <c r="D4" s="1037"/>
      <c r="E4" s="1037"/>
      <c r="F4" s="1037"/>
      <c r="G4" s="1037"/>
      <c r="H4" s="1037"/>
      <c r="I4" s="1037"/>
      <c r="J4" s="1037"/>
      <c r="K4" s="1037"/>
      <c r="L4" s="1037"/>
      <c r="M4" s="1037"/>
      <c r="N4" s="1037"/>
      <c r="O4" s="1037"/>
      <c r="P4" s="1037"/>
      <c r="Q4" s="1037"/>
    </row>
    <row r="5" spans="1:21" s="31" customFormat="1" ht="15.75">
      <c r="A5" s="373" t="s">
        <v>519</v>
      </c>
      <c r="B5" s="374"/>
      <c r="C5" s="374"/>
      <c r="D5" s="374"/>
      <c r="E5" s="374"/>
      <c r="F5" s="374"/>
      <c r="G5" s="374"/>
      <c r="H5" s="374"/>
      <c r="I5" s="374"/>
      <c r="J5" s="374"/>
      <c r="K5" s="374"/>
      <c r="L5" s="374"/>
      <c r="M5" s="374"/>
      <c r="N5" s="374"/>
      <c r="O5" s="374"/>
      <c r="P5" s="374"/>
      <c r="Q5" s="375" t="s">
        <v>520</v>
      </c>
    </row>
    <row r="6" spans="1:21" ht="26.25" customHeight="1" thickBot="1">
      <c r="A6" s="1099" t="s">
        <v>111</v>
      </c>
      <c r="B6" s="1087" t="s">
        <v>554</v>
      </c>
      <c r="C6" s="1181"/>
      <c r="D6" s="1181"/>
      <c r="E6" s="1181"/>
      <c r="F6" s="1181"/>
      <c r="G6" s="1181"/>
      <c r="H6" s="1181"/>
      <c r="I6" s="1181"/>
      <c r="J6" s="1181"/>
      <c r="K6" s="1181"/>
      <c r="L6" s="1181"/>
      <c r="M6" s="1181"/>
      <c r="N6" s="1181"/>
      <c r="O6" s="1181"/>
      <c r="P6" s="1181"/>
      <c r="Q6" s="1106" t="s">
        <v>109</v>
      </c>
    </row>
    <row r="7" spans="1:21" ht="37.5" customHeight="1">
      <c r="A7" s="1100" t="s">
        <v>111</v>
      </c>
      <c r="B7" s="319">
        <v>-20</v>
      </c>
      <c r="C7" s="319" t="s">
        <v>128</v>
      </c>
      <c r="D7" s="319" t="s">
        <v>127</v>
      </c>
      <c r="E7" s="319" t="s">
        <v>126</v>
      </c>
      <c r="F7" s="319" t="s">
        <v>125</v>
      </c>
      <c r="G7" s="319" t="s">
        <v>124</v>
      </c>
      <c r="H7" s="319" t="s">
        <v>123</v>
      </c>
      <c r="I7" s="319" t="s">
        <v>122</v>
      </c>
      <c r="J7" s="319" t="s">
        <v>121</v>
      </c>
      <c r="K7" s="319" t="s">
        <v>120</v>
      </c>
      <c r="L7" s="319" t="s">
        <v>119</v>
      </c>
      <c r="M7" s="319" t="s">
        <v>118</v>
      </c>
      <c r="N7" s="319" t="s">
        <v>117</v>
      </c>
      <c r="O7" s="328" t="s">
        <v>658</v>
      </c>
      <c r="P7" s="325" t="s">
        <v>116</v>
      </c>
      <c r="Q7" s="1107"/>
    </row>
    <row r="8" spans="1:21" ht="30.75" customHeight="1" thickBot="1">
      <c r="A8" s="823" t="s">
        <v>107</v>
      </c>
      <c r="B8" s="22">
        <v>1</v>
      </c>
      <c r="C8" s="22">
        <v>90</v>
      </c>
      <c r="D8" s="22">
        <v>260</v>
      </c>
      <c r="E8" s="22">
        <v>210</v>
      </c>
      <c r="F8" s="22">
        <v>165</v>
      </c>
      <c r="G8" s="22">
        <v>116</v>
      </c>
      <c r="H8" s="22">
        <v>94</v>
      </c>
      <c r="I8" s="22">
        <v>77</v>
      </c>
      <c r="J8" s="22">
        <v>45</v>
      </c>
      <c r="K8" s="22">
        <v>30</v>
      </c>
      <c r="L8" s="22">
        <v>15</v>
      </c>
      <c r="M8" s="22">
        <v>9</v>
      </c>
      <c r="N8" s="22">
        <v>3</v>
      </c>
      <c r="O8" s="22">
        <v>0</v>
      </c>
      <c r="P8" s="21">
        <f>SUM(Table_Default__XLS_TAB_32[[#This Row],[CNT_BELOW_20]:[NOT_STATED]])</f>
        <v>1115</v>
      </c>
      <c r="Q8" s="46" t="s">
        <v>703</v>
      </c>
    </row>
    <row r="9" spans="1:21" ht="30.75" customHeight="1" thickBot="1">
      <c r="A9" s="823" t="s">
        <v>106</v>
      </c>
      <c r="B9" s="22">
        <v>0</v>
      </c>
      <c r="C9" s="22">
        <v>3</v>
      </c>
      <c r="D9" s="22">
        <v>12</v>
      </c>
      <c r="E9" s="22">
        <v>13</v>
      </c>
      <c r="F9" s="22">
        <v>12</v>
      </c>
      <c r="G9" s="22">
        <v>3</v>
      </c>
      <c r="H9" s="22">
        <v>8</v>
      </c>
      <c r="I9" s="22">
        <v>2</v>
      </c>
      <c r="J9" s="22">
        <v>1</v>
      </c>
      <c r="K9" s="22">
        <v>3</v>
      </c>
      <c r="L9" s="22">
        <v>1</v>
      </c>
      <c r="M9" s="22">
        <v>0</v>
      </c>
      <c r="N9" s="22">
        <v>1</v>
      </c>
      <c r="O9" s="22">
        <v>5</v>
      </c>
      <c r="P9" s="21">
        <f>SUM(Table_Default__XLS_TAB_32[[#This Row],[CNT_BELOW_20]:[NOT_STATED]])</f>
        <v>64</v>
      </c>
      <c r="Q9" s="106" t="s">
        <v>432</v>
      </c>
    </row>
    <row r="10" spans="1:21" ht="30.75" customHeight="1" thickBot="1">
      <c r="A10" s="823" t="s">
        <v>105</v>
      </c>
      <c r="B10" s="22">
        <v>0</v>
      </c>
      <c r="C10" s="22">
        <v>13</v>
      </c>
      <c r="D10" s="22">
        <v>54</v>
      </c>
      <c r="E10" s="22">
        <v>82</v>
      </c>
      <c r="F10" s="22">
        <v>127</v>
      </c>
      <c r="G10" s="22">
        <v>80</v>
      </c>
      <c r="H10" s="22">
        <v>77</v>
      </c>
      <c r="I10" s="22">
        <v>33</v>
      </c>
      <c r="J10" s="22">
        <v>27</v>
      </c>
      <c r="K10" s="22">
        <v>10</v>
      </c>
      <c r="L10" s="22">
        <v>2</v>
      </c>
      <c r="M10" s="22">
        <v>1</v>
      </c>
      <c r="N10" s="22">
        <v>1</v>
      </c>
      <c r="O10" s="22">
        <v>11</v>
      </c>
      <c r="P10" s="21">
        <f>SUM(Table_Default__XLS_TAB_32[[#This Row],[CNT_BELOW_20]:[NOT_STATED]])</f>
        <v>518</v>
      </c>
      <c r="Q10" s="106" t="s">
        <v>433</v>
      </c>
    </row>
    <row r="11" spans="1:21" ht="30.75" customHeight="1" thickBot="1">
      <c r="A11" s="72" t="s">
        <v>745</v>
      </c>
      <c r="B11" s="22">
        <v>0</v>
      </c>
      <c r="C11" s="22">
        <v>4</v>
      </c>
      <c r="D11" s="22">
        <v>13</v>
      </c>
      <c r="E11" s="22">
        <v>19</v>
      </c>
      <c r="F11" s="22">
        <v>17</v>
      </c>
      <c r="G11" s="22">
        <v>10</v>
      </c>
      <c r="H11" s="22">
        <v>4</v>
      </c>
      <c r="I11" s="22">
        <v>9</v>
      </c>
      <c r="J11" s="22">
        <v>3</v>
      </c>
      <c r="K11" s="22">
        <v>1</v>
      </c>
      <c r="L11" s="22">
        <v>0</v>
      </c>
      <c r="M11" s="22">
        <v>0</v>
      </c>
      <c r="N11" s="22">
        <v>0</v>
      </c>
      <c r="O11" s="22">
        <v>5</v>
      </c>
      <c r="P11" s="21">
        <f>SUM(Table_Default__XLS_TAB_32[[#This Row],[CNT_BELOW_20]:[NOT_STATED]])</f>
        <v>85</v>
      </c>
      <c r="Q11" s="106" t="s">
        <v>434</v>
      </c>
    </row>
    <row r="12" spans="1:21" ht="30.75" customHeight="1" thickBot="1">
      <c r="A12" s="71" t="s">
        <v>746</v>
      </c>
      <c r="B12" s="22">
        <v>0</v>
      </c>
      <c r="C12" s="22">
        <v>0</v>
      </c>
      <c r="D12" s="22">
        <v>0</v>
      </c>
      <c r="E12" s="22">
        <v>2</v>
      </c>
      <c r="F12" s="22">
        <v>2</v>
      </c>
      <c r="G12" s="22">
        <v>5</v>
      </c>
      <c r="H12" s="22">
        <v>0</v>
      </c>
      <c r="I12" s="22">
        <v>2</v>
      </c>
      <c r="J12" s="22">
        <v>0</v>
      </c>
      <c r="K12" s="22">
        <v>0</v>
      </c>
      <c r="L12" s="22">
        <v>0</v>
      </c>
      <c r="M12" s="22">
        <v>1</v>
      </c>
      <c r="N12" s="22">
        <v>0</v>
      </c>
      <c r="O12" s="22">
        <v>1</v>
      </c>
      <c r="P12" s="21">
        <f>SUM(Table_Default__XLS_TAB_32[[#This Row],[CNT_BELOW_20]:[NOT_STATED]])</f>
        <v>13</v>
      </c>
      <c r="Q12" s="46" t="s">
        <v>1253</v>
      </c>
    </row>
    <row r="13" spans="1:21" ht="30.75" customHeight="1" thickBot="1">
      <c r="A13" s="70" t="s">
        <v>747</v>
      </c>
      <c r="B13" s="457">
        <v>0</v>
      </c>
      <c r="C13" s="457">
        <v>2</v>
      </c>
      <c r="D13" s="457">
        <v>5</v>
      </c>
      <c r="E13" s="457">
        <v>4</v>
      </c>
      <c r="F13" s="457">
        <v>8</v>
      </c>
      <c r="G13" s="457">
        <v>8</v>
      </c>
      <c r="H13" s="457">
        <v>4</v>
      </c>
      <c r="I13" s="457">
        <v>3</v>
      </c>
      <c r="J13" s="457">
        <v>3</v>
      </c>
      <c r="K13" s="457">
        <v>0</v>
      </c>
      <c r="L13" s="457">
        <v>0</v>
      </c>
      <c r="M13" s="457">
        <v>0</v>
      </c>
      <c r="N13" s="457">
        <v>0</v>
      </c>
      <c r="O13" s="457">
        <v>1</v>
      </c>
      <c r="P13" s="21">
        <f>SUM(Table_Default__XLS_TAB_32[[#This Row],[CNT_BELOW_20]:[NOT_STATED]])</f>
        <v>38</v>
      </c>
      <c r="Q13" s="107" t="s">
        <v>436</v>
      </c>
    </row>
    <row r="14" spans="1:21" ht="33" customHeight="1">
      <c r="A14" s="98" t="s">
        <v>17</v>
      </c>
      <c r="B14" s="92">
        <f t="shared" ref="B14:O14" si="0">SUM(B8:B13)</f>
        <v>1</v>
      </c>
      <c r="C14" s="92">
        <f>SUM(C8:C13)</f>
        <v>112</v>
      </c>
      <c r="D14" s="92">
        <f t="shared" si="0"/>
        <v>344</v>
      </c>
      <c r="E14" s="92">
        <f t="shared" si="0"/>
        <v>330</v>
      </c>
      <c r="F14" s="92">
        <f t="shared" si="0"/>
        <v>331</v>
      </c>
      <c r="G14" s="92">
        <f t="shared" si="0"/>
        <v>222</v>
      </c>
      <c r="H14" s="92">
        <f t="shared" si="0"/>
        <v>187</v>
      </c>
      <c r="I14" s="92">
        <f t="shared" si="0"/>
        <v>126</v>
      </c>
      <c r="J14" s="92">
        <f t="shared" si="0"/>
        <v>79</v>
      </c>
      <c r="K14" s="92">
        <f t="shared" si="0"/>
        <v>44</v>
      </c>
      <c r="L14" s="92">
        <f t="shared" si="0"/>
        <v>18</v>
      </c>
      <c r="M14" s="92">
        <f t="shared" si="0"/>
        <v>11</v>
      </c>
      <c r="N14" s="92">
        <f t="shared" si="0"/>
        <v>5</v>
      </c>
      <c r="O14" s="92">
        <f t="shared" si="0"/>
        <v>23</v>
      </c>
      <c r="P14" s="92">
        <f>SUM(P8:P13)</f>
        <v>1833</v>
      </c>
      <c r="Q14" s="99" t="s">
        <v>56</v>
      </c>
    </row>
  </sheetData>
  <mergeCells count="7">
    <mergeCell ref="A6:A7"/>
    <mergeCell ref="B6:P6"/>
    <mergeCell ref="Q6:Q7"/>
    <mergeCell ref="A1:Q1"/>
    <mergeCell ref="A2:Q2"/>
    <mergeCell ref="A3:Q3"/>
    <mergeCell ref="A4:Q4"/>
  </mergeCells>
  <printOptions horizontalCentered="1" verticalCentered="1"/>
  <pageMargins left="0" right="0" top="0.39" bottom="0" header="0" footer="0"/>
  <pageSetup scale="83" orientation="landscape" r:id="rId1"/>
  <headerFooter alignWithMargins="0"/>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R14"/>
  <sheetViews>
    <sheetView rightToLeft="1" view="pageBreakPreview" zoomScaleNormal="100" zoomScaleSheetLayoutView="100" workbookViewId="0">
      <selection activeCell="M18" sqref="M18"/>
    </sheetView>
  </sheetViews>
  <sheetFormatPr defaultColWidth="9.140625" defaultRowHeight="12.75"/>
  <cols>
    <col min="1" max="1" width="19.42578125" style="1" customWidth="1"/>
    <col min="2" max="11" width="7.5703125" style="1" customWidth="1"/>
    <col min="12" max="12" width="9.42578125" style="1" customWidth="1"/>
    <col min="13" max="13" width="11.42578125" style="1" customWidth="1"/>
    <col min="14" max="14" width="21.42578125" style="1" customWidth="1"/>
    <col min="15" max="16384" width="9.140625" style="1"/>
  </cols>
  <sheetData>
    <row r="1" spans="1:18" s="2" customFormat="1" ht="21.75" customHeight="1">
      <c r="A1" s="1009" t="s">
        <v>356</v>
      </c>
      <c r="B1" s="1009"/>
      <c r="C1" s="1009"/>
      <c r="D1" s="1009"/>
      <c r="E1" s="1009"/>
      <c r="F1" s="1009"/>
      <c r="G1" s="1009"/>
      <c r="H1" s="1009"/>
      <c r="I1" s="1009"/>
      <c r="J1" s="1009"/>
      <c r="K1" s="1009"/>
      <c r="L1" s="1009"/>
      <c r="M1" s="1009"/>
      <c r="N1" s="1009"/>
      <c r="O1" s="59"/>
      <c r="P1" s="59"/>
    </row>
    <row r="2" spans="1:18" s="2" customFormat="1" ht="15.75" customHeight="1">
      <c r="A2" s="1037" t="s">
        <v>355</v>
      </c>
      <c r="B2" s="1037"/>
      <c r="C2" s="1037"/>
      <c r="D2" s="1037"/>
      <c r="E2" s="1037"/>
      <c r="F2" s="1037"/>
      <c r="G2" s="1037"/>
      <c r="H2" s="1037"/>
      <c r="I2" s="1037"/>
      <c r="J2" s="1037"/>
      <c r="K2" s="1037"/>
      <c r="L2" s="1037"/>
      <c r="M2" s="1037"/>
      <c r="N2" s="1037"/>
      <c r="O2" s="58"/>
      <c r="P2" s="58"/>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c r="B4" s="1037"/>
      <c r="C4" s="1037"/>
      <c r="D4" s="1037"/>
      <c r="E4" s="1037"/>
      <c r="F4" s="1037"/>
      <c r="G4" s="1037"/>
      <c r="H4" s="1037"/>
      <c r="I4" s="1037"/>
      <c r="J4" s="1037"/>
      <c r="K4" s="1037"/>
      <c r="L4" s="1037"/>
      <c r="M4" s="1037"/>
      <c r="N4" s="1037"/>
    </row>
    <row r="5" spans="1:18" s="31" customFormat="1" ht="15.75">
      <c r="A5" s="373" t="s">
        <v>414</v>
      </c>
      <c r="B5" s="374"/>
      <c r="C5" s="374"/>
      <c r="D5" s="374"/>
      <c r="E5" s="374"/>
      <c r="F5" s="374"/>
      <c r="G5" s="374"/>
      <c r="H5" s="374"/>
      <c r="I5" s="374"/>
      <c r="J5" s="374"/>
      <c r="K5" s="374"/>
      <c r="L5" s="374"/>
      <c r="M5" s="374"/>
      <c r="N5" s="375" t="s">
        <v>415</v>
      </c>
    </row>
    <row r="6" spans="1:18" ht="26.25" customHeight="1" thickBot="1">
      <c r="A6" s="1099" t="s">
        <v>137</v>
      </c>
      <c r="B6" s="1087" t="s">
        <v>136</v>
      </c>
      <c r="C6" s="1181"/>
      <c r="D6" s="1181"/>
      <c r="E6" s="1181"/>
      <c r="F6" s="1181"/>
      <c r="G6" s="1181"/>
      <c r="H6" s="1181"/>
      <c r="I6" s="1181"/>
      <c r="J6" s="1181"/>
      <c r="K6" s="1181"/>
      <c r="L6" s="1181"/>
      <c r="M6" s="1181"/>
      <c r="N6" s="1106" t="s">
        <v>135</v>
      </c>
    </row>
    <row r="7" spans="1:18" ht="37.5" customHeight="1">
      <c r="A7" s="1100" t="s">
        <v>111</v>
      </c>
      <c r="B7" s="319">
        <v>-20</v>
      </c>
      <c r="C7" s="319" t="s">
        <v>128</v>
      </c>
      <c r="D7" s="319" t="s">
        <v>127</v>
      </c>
      <c r="E7" s="319" t="s">
        <v>126</v>
      </c>
      <c r="F7" s="319" t="s">
        <v>125</v>
      </c>
      <c r="G7" s="319" t="s">
        <v>124</v>
      </c>
      <c r="H7" s="319" t="s">
        <v>123</v>
      </c>
      <c r="I7" s="319" t="s">
        <v>122</v>
      </c>
      <c r="J7" s="319" t="s">
        <v>121</v>
      </c>
      <c r="K7" s="319" t="s">
        <v>133</v>
      </c>
      <c r="L7" s="328" t="s">
        <v>658</v>
      </c>
      <c r="M7" s="325" t="s">
        <v>605</v>
      </c>
      <c r="N7" s="1107"/>
    </row>
    <row r="8" spans="1:18" ht="27" customHeight="1" thickBot="1">
      <c r="A8" s="824" t="s">
        <v>107</v>
      </c>
      <c r="B8" s="81">
        <v>4</v>
      </c>
      <c r="C8" s="81">
        <v>109</v>
      </c>
      <c r="D8" s="81">
        <v>235</v>
      </c>
      <c r="E8" s="81">
        <v>206</v>
      </c>
      <c r="F8" s="81">
        <v>135</v>
      </c>
      <c r="G8" s="81">
        <v>107</v>
      </c>
      <c r="H8" s="81">
        <v>88</v>
      </c>
      <c r="I8" s="81">
        <v>60</v>
      </c>
      <c r="J8" s="81">
        <v>32</v>
      </c>
      <c r="K8" s="81">
        <v>16</v>
      </c>
      <c r="L8" s="81">
        <v>0</v>
      </c>
      <c r="M8" s="7">
        <f>SUM(Table_Default__XLS_TAB_33[[#This Row],[CNT_BELOW_20]:[NOT_STATED]])</f>
        <v>992</v>
      </c>
      <c r="N8" s="46" t="s">
        <v>703</v>
      </c>
    </row>
    <row r="9" spans="1:18" ht="27" customHeight="1" thickBot="1">
      <c r="A9" s="824" t="s">
        <v>106</v>
      </c>
      <c r="B9" s="81">
        <v>2</v>
      </c>
      <c r="C9" s="81">
        <v>13</v>
      </c>
      <c r="D9" s="81">
        <v>32</v>
      </c>
      <c r="E9" s="81">
        <v>22</v>
      </c>
      <c r="F9" s="81">
        <v>20</v>
      </c>
      <c r="G9" s="81">
        <v>11</v>
      </c>
      <c r="H9" s="81">
        <v>4</v>
      </c>
      <c r="I9" s="81">
        <v>1</v>
      </c>
      <c r="J9" s="81">
        <v>2</v>
      </c>
      <c r="K9" s="81">
        <v>1</v>
      </c>
      <c r="L9" s="81">
        <v>40</v>
      </c>
      <c r="M9" s="7">
        <f>SUM(Table_Default__XLS_TAB_33[[#This Row],[CNT_BELOW_20]:[NOT_STATED]])</f>
        <v>148</v>
      </c>
      <c r="N9" s="46" t="s">
        <v>432</v>
      </c>
    </row>
    <row r="10" spans="1:18" ht="27" customHeight="1" thickBot="1">
      <c r="A10" s="824" t="s">
        <v>105</v>
      </c>
      <c r="B10" s="81">
        <v>2</v>
      </c>
      <c r="C10" s="81">
        <v>36</v>
      </c>
      <c r="D10" s="81">
        <v>69</v>
      </c>
      <c r="E10" s="81">
        <v>112</v>
      </c>
      <c r="F10" s="81">
        <v>106</v>
      </c>
      <c r="G10" s="81">
        <v>71</v>
      </c>
      <c r="H10" s="81">
        <v>55</v>
      </c>
      <c r="I10" s="81">
        <v>23</v>
      </c>
      <c r="J10" s="81">
        <v>5</v>
      </c>
      <c r="K10" s="81">
        <v>4</v>
      </c>
      <c r="L10" s="81">
        <v>20</v>
      </c>
      <c r="M10" s="7">
        <f>SUM(Table_Default__XLS_TAB_33[[#This Row],[CNT_BELOW_20]:[NOT_STATED]])</f>
        <v>503</v>
      </c>
      <c r="N10" s="46" t="s">
        <v>433</v>
      </c>
    </row>
    <row r="11" spans="1:18" ht="27" customHeight="1" thickBot="1">
      <c r="A11" s="72" t="s">
        <v>745</v>
      </c>
      <c r="B11" s="81">
        <v>1</v>
      </c>
      <c r="C11" s="81">
        <v>6</v>
      </c>
      <c r="D11" s="81">
        <v>14</v>
      </c>
      <c r="E11" s="81">
        <v>44</v>
      </c>
      <c r="F11" s="81">
        <v>23</v>
      </c>
      <c r="G11" s="81">
        <v>16</v>
      </c>
      <c r="H11" s="81">
        <v>12</v>
      </c>
      <c r="I11" s="81">
        <v>3</v>
      </c>
      <c r="J11" s="81">
        <v>3</v>
      </c>
      <c r="K11" s="81">
        <v>0</v>
      </c>
      <c r="L11" s="81">
        <v>1</v>
      </c>
      <c r="M11" s="7">
        <f>SUM(Table_Default__XLS_TAB_33[[#This Row],[CNT_BELOW_20]:[NOT_STATED]])</f>
        <v>123</v>
      </c>
      <c r="N11" s="46" t="s">
        <v>434</v>
      </c>
    </row>
    <row r="12" spans="1:18" ht="27" customHeight="1" thickBot="1">
      <c r="A12" s="71" t="s">
        <v>746</v>
      </c>
      <c r="B12" s="81">
        <v>0</v>
      </c>
      <c r="C12" s="81">
        <v>1</v>
      </c>
      <c r="D12" s="81">
        <v>11</v>
      </c>
      <c r="E12" s="81">
        <v>4</v>
      </c>
      <c r="F12" s="81">
        <v>6</v>
      </c>
      <c r="G12" s="81">
        <v>5</v>
      </c>
      <c r="H12" s="81">
        <v>1</v>
      </c>
      <c r="I12" s="81">
        <v>0</v>
      </c>
      <c r="J12" s="81">
        <v>1</v>
      </c>
      <c r="K12" s="81">
        <v>1</v>
      </c>
      <c r="L12" s="81">
        <v>1</v>
      </c>
      <c r="M12" s="7">
        <f>SUM(Table_Default__XLS_TAB_33[[#This Row],[CNT_BELOW_20]:[NOT_STATED]])</f>
        <v>31</v>
      </c>
      <c r="N12" s="46" t="s">
        <v>1253</v>
      </c>
    </row>
    <row r="13" spans="1:18" ht="27" customHeight="1" thickBot="1">
      <c r="A13" s="70" t="s">
        <v>747</v>
      </c>
      <c r="B13" s="282">
        <v>0</v>
      </c>
      <c r="C13" s="282">
        <v>1</v>
      </c>
      <c r="D13" s="282">
        <v>3</v>
      </c>
      <c r="E13" s="282">
        <v>8</v>
      </c>
      <c r="F13" s="282">
        <v>10</v>
      </c>
      <c r="G13" s="282">
        <v>2</v>
      </c>
      <c r="H13" s="282">
        <v>5</v>
      </c>
      <c r="I13" s="282">
        <v>3</v>
      </c>
      <c r="J13" s="282">
        <v>1</v>
      </c>
      <c r="K13" s="282">
        <v>0</v>
      </c>
      <c r="L13" s="282">
        <v>3</v>
      </c>
      <c r="M13" s="7">
        <f>SUM(Table_Default__XLS_TAB_33[[#This Row],[CNT_BELOW_20]:[NOT_STATED]])</f>
        <v>36</v>
      </c>
      <c r="N13" s="825" t="s">
        <v>436</v>
      </c>
    </row>
    <row r="14" spans="1:18" ht="33" customHeight="1">
      <c r="A14" s="98" t="s">
        <v>17</v>
      </c>
      <c r="B14" s="92">
        <f>SUM(B8:B13)</f>
        <v>9</v>
      </c>
      <c r="C14" s="92">
        <f t="shared" ref="C14:L14" si="0">SUM(C8:C13)</f>
        <v>166</v>
      </c>
      <c r="D14" s="92">
        <f t="shared" si="0"/>
        <v>364</v>
      </c>
      <c r="E14" s="92">
        <f t="shared" si="0"/>
        <v>396</v>
      </c>
      <c r="F14" s="92">
        <f t="shared" si="0"/>
        <v>300</v>
      </c>
      <c r="G14" s="92">
        <f t="shared" si="0"/>
        <v>212</v>
      </c>
      <c r="H14" s="92">
        <f t="shared" si="0"/>
        <v>165</v>
      </c>
      <c r="I14" s="92">
        <f t="shared" si="0"/>
        <v>90</v>
      </c>
      <c r="J14" s="92">
        <f t="shared" si="0"/>
        <v>44</v>
      </c>
      <c r="K14" s="92">
        <f t="shared" si="0"/>
        <v>22</v>
      </c>
      <c r="L14" s="92">
        <f t="shared" si="0"/>
        <v>65</v>
      </c>
      <c r="M14" s="92">
        <f>SUM(M8:M13)</f>
        <v>1833</v>
      </c>
      <c r="N14" s="99" t="s">
        <v>56</v>
      </c>
    </row>
  </sheetData>
  <mergeCells count="7">
    <mergeCell ref="A6:A7"/>
    <mergeCell ref="B6:M6"/>
    <mergeCell ref="N6:N7"/>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rightToLeft="1" view="pageBreakPreview" zoomScaleNormal="100" zoomScaleSheetLayoutView="100" workbookViewId="0">
      <selection activeCell="M18" sqref="M18"/>
    </sheetView>
  </sheetViews>
  <sheetFormatPr defaultColWidth="9.140625" defaultRowHeight="12.75"/>
  <cols>
    <col min="1" max="1" width="52.570312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J28"/>
  <sheetViews>
    <sheetView rightToLeft="1" view="pageBreakPreview" topLeftCell="A4" zoomScaleNormal="100" zoomScaleSheetLayoutView="100" workbookViewId="0">
      <selection activeCell="M18" sqref="M18"/>
    </sheetView>
  </sheetViews>
  <sheetFormatPr defaultColWidth="9.140625" defaultRowHeight="12.75"/>
  <cols>
    <col min="1" max="1" width="21.85546875" style="1" customWidth="1"/>
    <col min="2" max="7" width="12.5703125" style="1" customWidth="1"/>
    <col min="8" max="8" width="9.5703125" style="1" customWidth="1"/>
    <col min="9" max="9" width="13.42578125" style="1" customWidth="1"/>
    <col min="10" max="10" width="22.42578125" style="1" customWidth="1"/>
    <col min="11" max="16384" width="9.140625" style="1"/>
  </cols>
  <sheetData>
    <row r="1" spans="1:10" ht="24" customHeight="1">
      <c r="A1" s="1097" t="s">
        <v>359</v>
      </c>
      <c r="B1" s="1097"/>
      <c r="C1" s="1097"/>
      <c r="D1" s="1097"/>
      <c r="E1" s="1097"/>
      <c r="F1" s="1097"/>
      <c r="G1" s="1097"/>
      <c r="H1" s="1097"/>
      <c r="I1" s="1097"/>
      <c r="J1" s="1097"/>
    </row>
    <row r="2" spans="1:10" ht="15.75" customHeight="1">
      <c r="A2" s="1050" t="s">
        <v>358</v>
      </c>
      <c r="B2" s="1050"/>
      <c r="C2" s="1050"/>
      <c r="D2" s="1050"/>
      <c r="E2" s="1050"/>
      <c r="F2" s="1050"/>
      <c r="G2" s="1050"/>
      <c r="H2" s="1050"/>
      <c r="I2" s="1050"/>
      <c r="J2" s="1050"/>
    </row>
    <row r="3" spans="1:10" ht="15.75" customHeight="1">
      <c r="A3" s="1050">
        <v>2019</v>
      </c>
      <c r="B3" s="1050"/>
      <c r="C3" s="1050"/>
      <c r="D3" s="1050"/>
      <c r="E3" s="1050"/>
      <c r="F3" s="1050"/>
      <c r="G3" s="1050"/>
      <c r="H3" s="1050"/>
      <c r="I3" s="1050"/>
      <c r="J3" s="1050"/>
    </row>
    <row r="4" spans="1:10" ht="15.75" customHeight="1">
      <c r="A4" s="372"/>
      <c r="B4" s="372"/>
      <c r="C4" s="372"/>
      <c r="D4" s="372"/>
      <c r="E4" s="372"/>
      <c r="F4" s="372"/>
      <c r="G4" s="372"/>
      <c r="H4" s="372"/>
      <c r="I4" s="372"/>
      <c r="J4" s="372"/>
    </row>
    <row r="5" spans="1:10" ht="16.5">
      <c r="A5" s="362" t="s">
        <v>476</v>
      </c>
      <c r="B5" s="363"/>
      <c r="C5" s="367"/>
      <c r="D5" s="367"/>
      <c r="E5" s="367"/>
      <c r="F5" s="367"/>
      <c r="G5" s="367"/>
      <c r="H5" s="368"/>
      <c r="I5" s="371"/>
      <c r="J5" s="369" t="s">
        <v>477</v>
      </c>
    </row>
    <row r="6" spans="1:10" s="31" customFormat="1" ht="30" customHeight="1" thickBot="1">
      <c r="A6" s="1150" t="s">
        <v>111</v>
      </c>
      <c r="B6" s="1143" t="s">
        <v>110</v>
      </c>
      <c r="C6" s="1143"/>
      <c r="D6" s="1143"/>
      <c r="E6" s="1143"/>
      <c r="F6" s="1143"/>
      <c r="G6" s="1143"/>
      <c r="H6" s="1143"/>
      <c r="I6" s="1093" t="s">
        <v>659</v>
      </c>
      <c r="J6" s="1095" t="s">
        <v>109</v>
      </c>
    </row>
    <row r="7" spans="1:10" ht="73.5" customHeight="1">
      <c r="A7" s="1153"/>
      <c r="B7" s="837" t="s">
        <v>714</v>
      </c>
      <c r="C7" s="837" t="s">
        <v>1258</v>
      </c>
      <c r="D7" s="838" t="s">
        <v>695</v>
      </c>
      <c r="E7" s="838" t="s">
        <v>1259</v>
      </c>
      <c r="F7" s="838" t="s">
        <v>1260</v>
      </c>
      <c r="G7" s="838" t="s">
        <v>1261</v>
      </c>
      <c r="H7" s="837" t="s">
        <v>108</v>
      </c>
      <c r="I7" s="1094"/>
      <c r="J7" s="1096"/>
    </row>
    <row r="8" spans="1:10" ht="30" customHeight="1" thickBot="1">
      <c r="A8" s="834" t="s">
        <v>107</v>
      </c>
      <c r="B8" s="826">
        <v>923</v>
      </c>
      <c r="C8" s="827">
        <v>139</v>
      </c>
      <c r="D8" s="827">
        <v>40</v>
      </c>
      <c r="E8" s="827">
        <v>11</v>
      </c>
      <c r="F8" s="827">
        <v>0</v>
      </c>
      <c r="G8" s="827">
        <v>2</v>
      </c>
      <c r="H8" s="828">
        <f>SUM(Table_Default__XLS_TAB_3436[[#This Row],[QATAR]:[OTHER_COUNTRIES]])</f>
        <v>1115</v>
      </c>
      <c r="I8" s="829">
        <f t="shared" ref="I8:I13" si="0">H8/$H$14%</f>
        <v>60.829241680305515</v>
      </c>
      <c r="J8" s="833" t="s">
        <v>703</v>
      </c>
    </row>
    <row r="9" spans="1:10" ht="30" customHeight="1" thickBot="1">
      <c r="A9" s="835" t="s">
        <v>106</v>
      </c>
      <c r="B9" s="830">
        <v>50</v>
      </c>
      <c r="C9" s="22">
        <v>6</v>
      </c>
      <c r="D9" s="22">
        <v>5</v>
      </c>
      <c r="E9" s="22">
        <v>3</v>
      </c>
      <c r="F9" s="22">
        <v>0</v>
      </c>
      <c r="G9" s="22">
        <v>0</v>
      </c>
      <c r="H9" s="828">
        <f>SUM(Table_Default__XLS_TAB_3436[[#This Row],[QATAR]:[OTHER_COUNTRIES]])</f>
        <v>64</v>
      </c>
      <c r="I9" s="53">
        <f t="shared" si="0"/>
        <v>3.4915439170758322</v>
      </c>
      <c r="J9" s="577" t="s">
        <v>432</v>
      </c>
    </row>
    <row r="10" spans="1:10" ht="30" customHeight="1" thickBot="1">
      <c r="A10" s="836" t="s">
        <v>105</v>
      </c>
      <c r="B10" s="830">
        <v>15</v>
      </c>
      <c r="C10" s="22">
        <v>2</v>
      </c>
      <c r="D10" s="22">
        <v>426</v>
      </c>
      <c r="E10" s="22">
        <v>37</v>
      </c>
      <c r="F10" s="22">
        <v>21</v>
      </c>
      <c r="G10" s="22">
        <v>17</v>
      </c>
      <c r="H10" s="828">
        <f>SUM(Table_Default__XLS_TAB_3436[[#This Row],[QATAR]:[OTHER_COUNTRIES]])</f>
        <v>518</v>
      </c>
      <c r="I10" s="52">
        <f t="shared" si="0"/>
        <v>28.259683578832519</v>
      </c>
      <c r="J10" s="578" t="s">
        <v>433</v>
      </c>
    </row>
    <row r="11" spans="1:10" ht="30" customHeight="1" thickBot="1">
      <c r="A11" s="72" t="s">
        <v>731</v>
      </c>
      <c r="B11" s="830">
        <v>3</v>
      </c>
      <c r="C11" s="22">
        <v>1</v>
      </c>
      <c r="D11" s="22">
        <v>8</v>
      </c>
      <c r="E11" s="22">
        <v>70</v>
      </c>
      <c r="F11" s="22">
        <v>1</v>
      </c>
      <c r="G11" s="22">
        <v>2</v>
      </c>
      <c r="H11" s="828">
        <f>SUM(Table_Default__XLS_TAB_3436[[#This Row],[QATAR]:[OTHER_COUNTRIES]])</f>
        <v>85</v>
      </c>
      <c r="I11" s="53">
        <f t="shared" si="0"/>
        <v>4.63720676486634</v>
      </c>
      <c r="J11" s="577" t="s">
        <v>434</v>
      </c>
    </row>
    <row r="12" spans="1:10" ht="30" customHeight="1" thickBot="1">
      <c r="A12" s="71" t="s">
        <v>104</v>
      </c>
      <c r="B12" s="830">
        <v>0</v>
      </c>
      <c r="C12" s="22">
        <v>0</v>
      </c>
      <c r="D12" s="22">
        <v>6</v>
      </c>
      <c r="E12" s="22">
        <v>1</v>
      </c>
      <c r="F12" s="22">
        <v>6</v>
      </c>
      <c r="G12" s="22">
        <v>0</v>
      </c>
      <c r="H12" s="828">
        <f>SUM(Table_Default__XLS_TAB_3436[[#This Row],[QATAR]:[OTHER_COUNTRIES]])</f>
        <v>13</v>
      </c>
      <c r="I12" s="52">
        <f t="shared" si="0"/>
        <v>0.70921985815602839</v>
      </c>
      <c r="J12" s="578" t="s">
        <v>1253</v>
      </c>
    </row>
    <row r="13" spans="1:10" ht="30" customHeight="1" thickBot="1">
      <c r="A13" s="70" t="s">
        <v>732</v>
      </c>
      <c r="B13" s="831">
        <v>1</v>
      </c>
      <c r="C13" s="457">
        <v>0</v>
      </c>
      <c r="D13" s="457">
        <v>18</v>
      </c>
      <c r="E13" s="457">
        <v>1</v>
      </c>
      <c r="F13" s="457">
        <v>3</v>
      </c>
      <c r="G13" s="457">
        <v>15</v>
      </c>
      <c r="H13" s="828">
        <f>SUM(Table_Default__XLS_TAB_3436[[#This Row],[QATAR]:[OTHER_COUNTRIES]])</f>
        <v>38</v>
      </c>
      <c r="I13" s="51">
        <f t="shared" si="0"/>
        <v>2.0731042007637752</v>
      </c>
      <c r="J13" s="579" t="s">
        <v>436</v>
      </c>
    </row>
    <row r="14" spans="1:10" ht="24.75" customHeight="1" thickBot="1">
      <c r="A14" s="839" t="s">
        <v>17</v>
      </c>
      <c r="B14" s="840">
        <f>SUM(B8:B13)</f>
        <v>992</v>
      </c>
      <c r="C14" s="840">
        <f t="shared" ref="C14:I14" si="1">SUM(C8:C13)</f>
        <v>148</v>
      </c>
      <c r="D14" s="840">
        <f t="shared" si="1"/>
        <v>503</v>
      </c>
      <c r="E14" s="840">
        <f t="shared" si="1"/>
        <v>123</v>
      </c>
      <c r="F14" s="840">
        <f t="shared" si="1"/>
        <v>31</v>
      </c>
      <c r="G14" s="840">
        <f t="shared" si="1"/>
        <v>36</v>
      </c>
      <c r="H14" s="840">
        <f t="shared" si="1"/>
        <v>1833</v>
      </c>
      <c r="I14" s="841">
        <f t="shared" si="1"/>
        <v>100.00000000000001</v>
      </c>
      <c r="J14" s="842" t="s">
        <v>56</v>
      </c>
    </row>
    <row r="15" spans="1:10" ht="24.75" customHeight="1">
      <c r="A15" s="14" t="s">
        <v>103</v>
      </c>
      <c r="B15" s="843">
        <f t="shared" ref="B15:H15" si="2">B14/$H$14%</f>
        <v>54.1189307146754</v>
      </c>
      <c r="C15" s="843">
        <f t="shared" si="2"/>
        <v>8.0741953082378615</v>
      </c>
      <c r="D15" s="843">
        <f t="shared" si="2"/>
        <v>27.441352973267868</v>
      </c>
      <c r="E15" s="843">
        <f t="shared" si="2"/>
        <v>6.7103109656301152</v>
      </c>
      <c r="F15" s="843">
        <f t="shared" si="2"/>
        <v>1.6912165848336063</v>
      </c>
      <c r="G15" s="843">
        <f t="shared" si="2"/>
        <v>1.9639934533551557</v>
      </c>
      <c r="H15" s="843">
        <f t="shared" si="2"/>
        <v>100.00000000000001</v>
      </c>
      <c r="I15" s="1182" t="s">
        <v>102</v>
      </c>
      <c r="J15" s="1090"/>
    </row>
    <row r="20" spans="1:3" ht="13.5" thickBot="1"/>
    <row r="21" spans="1:3" ht="13.5" thickTop="1">
      <c r="A21" s="84" t="s">
        <v>250</v>
      </c>
      <c r="B21" s="83" t="s">
        <v>223</v>
      </c>
      <c r="C21" s="82" t="s">
        <v>222</v>
      </c>
    </row>
    <row r="22" spans="1:3" ht="25.5">
      <c r="A22" s="48" t="s">
        <v>101</v>
      </c>
      <c r="B22" s="314">
        <f>H8</f>
        <v>1115</v>
      </c>
      <c r="C22" s="468">
        <f>B14</f>
        <v>992</v>
      </c>
    </row>
    <row r="23" spans="1:3" ht="25.5">
      <c r="A23" s="48" t="s">
        <v>357</v>
      </c>
      <c r="B23" s="316">
        <f t="shared" ref="B23:B27" si="3">H9</f>
        <v>64</v>
      </c>
      <c r="C23" s="315">
        <f>C14</f>
        <v>148</v>
      </c>
    </row>
    <row r="24" spans="1:3" ht="25.5">
      <c r="A24" s="48" t="s">
        <v>99</v>
      </c>
      <c r="B24" s="316">
        <f t="shared" si="3"/>
        <v>518</v>
      </c>
      <c r="C24" s="315">
        <f>D14</f>
        <v>503</v>
      </c>
    </row>
    <row r="25" spans="1:3" ht="25.5">
      <c r="A25" s="48" t="s">
        <v>741</v>
      </c>
      <c r="B25" s="316">
        <f t="shared" si="3"/>
        <v>85</v>
      </c>
      <c r="C25" s="315">
        <f>E14</f>
        <v>123</v>
      </c>
    </row>
    <row r="26" spans="1:3" ht="25.5">
      <c r="A26" s="48" t="s">
        <v>97</v>
      </c>
      <c r="B26" s="316">
        <f t="shared" si="3"/>
        <v>13</v>
      </c>
      <c r="C26" s="315">
        <f>F14</f>
        <v>31</v>
      </c>
    </row>
    <row r="27" spans="1:3" ht="26.25" thickBot="1">
      <c r="A27" s="47" t="s">
        <v>96</v>
      </c>
      <c r="B27" s="316">
        <f t="shared" si="3"/>
        <v>38</v>
      </c>
      <c r="C27" s="317">
        <f>G14</f>
        <v>36</v>
      </c>
    </row>
    <row r="28" spans="1:3" ht="13.5" thickTop="1">
      <c r="B28" s="1">
        <f>SUM(B22:B27)</f>
        <v>1833</v>
      </c>
      <c r="C28" s="1">
        <f>SUM(C22:C27)</f>
        <v>1833</v>
      </c>
    </row>
  </sheetData>
  <mergeCells count="8">
    <mergeCell ref="A1:J1"/>
    <mergeCell ref="A2:J2"/>
    <mergeCell ref="A3:J3"/>
    <mergeCell ref="I15:J15"/>
    <mergeCell ref="A6:A7"/>
    <mergeCell ref="B6:H6"/>
    <mergeCell ref="I6:I7"/>
    <mergeCell ref="J6:J7"/>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36"/>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1" ht="41.25" customHeight="1"/>
    <row r="36" spans="1:14" ht="15.75">
      <c r="A36" s="1038" t="s">
        <v>360</v>
      </c>
      <c r="B36" s="1038"/>
      <c r="C36" s="1038"/>
      <c r="D36" s="1038"/>
      <c r="E36" s="1038"/>
      <c r="F36" s="1038"/>
      <c r="G36" s="1038"/>
      <c r="H36" s="1038"/>
      <c r="I36" s="1038"/>
      <c r="J36" s="1038"/>
      <c r="K36" s="1038"/>
      <c r="L36" s="1038"/>
      <c r="M36" s="1038"/>
      <c r="N36" s="1038"/>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R23"/>
  <sheetViews>
    <sheetView rightToLeft="1" view="pageBreakPreview" topLeftCell="A3" zoomScaleNormal="100" zoomScaleSheetLayoutView="100" workbookViewId="0">
      <selection activeCell="M18" sqref="M18"/>
    </sheetView>
  </sheetViews>
  <sheetFormatPr defaultColWidth="9.140625" defaultRowHeight="12.75"/>
  <cols>
    <col min="1" max="1" width="20" style="1" customWidth="1"/>
    <col min="2" max="2" width="7.42578125" style="1" customWidth="1"/>
    <col min="3" max="5" width="6.42578125" style="1" customWidth="1"/>
    <col min="6" max="6" width="9.42578125" style="1" customWidth="1"/>
    <col min="7" max="7" width="10.85546875" style="1" customWidth="1"/>
    <col min="8" max="8" width="7.42578125" style="1" customWidth="1"/>
    <col min="9" max="11" width="6.42578125" style="1" customWidth="1"/>
    <col min="12" max="12" width="9.42578125" style="1" customWidth="1"/>
    <col min="13" max="13" width="11.42578125" style="1" customWidth="1"/>
    <col min="14" max="14" width="21.42578125" style="1" customWidth="1"/>
    <col min="15" max="16384" width="9.140625" style="1"/>
  </cols>
  <sheetData>
    <row r="1" spans="1:18" s="2" customFormat="1" ht="21.75" customHeight="1">
      <c r="A1" s="1009" t="s">
        <v>532</v>
      </c>
      <c r="B1" s="1009"/>
      <c r="C1" s="1009"/>
      <c r="D1" s="1009"/>
      <c r="E1" s="1009"/>
      <c r="F1" s="1009"/>
      <c r="G1" s="1009"/>
      <c r="H1" s="1009"/>
      <c r="I1" s="1110"/>
      <c r="J1" s="1009"/>
      <c r="K1" s="1009"/>
      <c r="L1" s="1009"/>
      <c r="M1" s="1009"/>
      <c r="N1" s="1009"/>
    </row>
    <row r="2" spans="1:18" s="2" customFormat="1" ht="15.75">
      <c r="A2" s="1036" t="s">
        <v>533</v>
      </c>
      <c r="B2" s="1036"/>
      <c r="C2" s="1036"/>
      <c r="D2" s="1036"/>
      <c r="E2" s="1036"/>
      <c r="F2" s="1036"/>
      <c r="G2" s="1036"/>
      <c r="H2" s="1036"/>
      <c r="I2" s="1036"/>
      <c r="J2" s="1036"/>
      <c r="K2" s="1036"/>
      <c r="L2" s="1036"/>
      <c r="M2" s="1036"/>
      <c r="N2" s="1036"/>
    </row>
    <row r="3" spans="1:18" s="2" customFormat="1" ht="18" customHeight="1">
      <c r="A3" s="1037">
        <v>2019</v>
      </c>
      <c r="B3" s="1037"/>
      <c r="C3" s="1037"/>
      <c r="D3" s="1037"/>
      <c r="E3" s="1037"/>
      <c r="F3" s="1037"/>
      <c r="G3" s="1037"/>
      <c r="H3" s="1037"/>
      <c r="I3" s="1037"/>
      <c r="J3" s="1037"/>
      <c r="K3" s="1037"/>
      <c r="L3" s="1037"/>
      <c r="M3" s="1037"/>
      <c r="N3" s="1037"/>
      <c r="O3" s="57"/>
      <c r="P3" s="57"/>
      <c r="Q3" s="57"/>
      <c r="R3" s="57"/>
    </row>
    <row r="4" spans="1:18" s="2" customFormat="1" ht="15.75">
      <c r="A4" s="1037"/>
      <c r="B4" s="1037"/>
      <c r="C4" s="1037"/>
      <c r="D4" s="1037"/>
      <c r="E4" s="1037"/>
      <c r="F4" s="1037"/>
      <c r="G4" s="1037"/>
      <c r="H4" s="1037"/>
      <c r="I4" s="1037"/>
      <c r="J4" s="1037"/>
      <c r="K4" s="1037"/>
      <c r="L4" s="1037"/>
      <c r="M4" s="1037"/>
      <c r="N4" s="1037"/>
    </row>
    <row r="5" spans="1:18" ht="15.75">
      <c r="A5" s="373" t="s">
        <v>529</v>
      </c>
      <c r="B5" s="377"/>
      <c r="C5" s="377"/>
      <c r="D5" s="377"/>
      <c r="E5" s="377"/>
      <c r="F5" s="377"/>
      <c r="G5" s="377"/>
      <c r="H5" s="377"/>
      <c r="I5" s="377"/>
      <c r="J5" s="377"/>
      <c r="K5" s="377"/>
      <c r="L5" s="377"/>
      <c r="M5" s="377"/>
      <c r="N5" s="375" t="s">
        <v>530</v>
      </c>
    </row>
    <row r="6" spans="1:18" ht="26.25" customHeight="1" thickBot="1">
      <c r="A6" s="1099" t="s">
        <v>143</v>
      </c>
      <c r="B6" s="1087" t="s">
        <v>361</v>
      </c>
      <c r="C6" s="1087"/>
      <c r="D6" s="1087"/>
      <c r="E6" s="1087"/>
      <c r="F6" s="1087"/>
      <c r="G6" s="1087"/>
      <c r="H6" s="1087"/>
      <c r="I6" s="1087"/>
      <c r="J6" s="1087"/>
      <c r="K6" s="1087"/>
      <c r="L6" s="1087"/>
      <c r="M6" s="1087"/>
      <c r="N6" s="1106" t="s">
        <v>142</v>
      </c>
    </row>
    <row r="7" spans="1:18" ht="26.25" customHeight="1" thickBot="1">
      <c r="A7" s="1117"/>
      <c r="B7" s="1183" t="s">
        <v>53</v>
      </c>
      <c r="C7" s="1183"/>
      <c r="D7" s="1183"/>
      <c r="E7" s="1183"/>
      <c r="F7" s="1183"/>
      <c r="G7" s="1183"/>
      <c r="H7" s="1183" t="s">
        <v>52</v>
      </c>
      <c r="I7" s="1183"/>
      <c r="J7" s="1183"/>
      <c r="K7" s="1183"/>
      <c r="L7" s="1183"/>
      <c r="M7" s="1183"/>
      <c r="N7" s="1119"/>
    </row>
    <row r="8" spans="1:18" ht="40.5" customHeight="1">
      <c r="A8" s="1100"/>
      <c r="B8" s="333" t="s">
        <v>606</v>
      </c>
      <c r="C8" s="544">
        <v>1</v>
      </c>
      <c r="D8" s="544">
        <v>2</v>
      </c>
      <c r="E8" s="544">
        <v>3</v>
      </c>
      <c r="F8" s="333" t="s">
        <v>611</v>
      </c>
      <c r="G8" s="321" t="s">
        <v>605</v>
      </c>
      <c r="H8" s="333" t="s">
        <v>606</v>
      </c>
      <c r="I8" s="544">
        <v>1</v>
      </c>
      <c r="J8" s="544">
        <v>2</v>
      </c>
      <c r="K8" s="544">
        <v>3</v>
      </c>
      <c r="L8" s="333" t="s">
        <v>611</v>
      </c>
      <c r="M8" s="513" t="s">
        <v>605</v>
      </c>
      <c r="N8" s="1107"/>
    </row>
    <row r="9" spans="1:18" ht="17.25" customHeight="1" thickBot="1">
      <c r="A9" s="777" t="s">
        <v>437</v>
      </c>
      <c r="B9" s="81">
        <v>1</v>
      </c>
      <c r="C9" s="81">
        <v>0</v>
      </c>
      <c r="D9" s="81">
        <v>0</v>
      </c>
      <c r="E9" s="81">
        <v>0</v>
      </c>
      <c r="F9" s="81">
        <v>0</v>
      </c>
      <c r="G9" s="7">
        <f>SUM(Table_Default__XLS_TAB_35[[#This Row],[Q_NONE_CNT]:[Q_NOT_STATED]])</f>
        <v>1</v>
      </c>
      <c r="H9" s="81">
        <v>0</v>
      </c>
      <c r="I9" s="81">
        <v>0</v>
      </c>
      <c r="J9" s="81">
        <v>0</v>
      </c>
      <c r="K9" s="81">
        <v>0</v>
      </c>
      <c r="L9" s="81">
        <v>0</v>
      </c>
      <c r="M9" s="7">
        <f>SUM(Table_Default__XLS_TAB_35[[#This Row],[NQ_NONE_CNT]:[NQ_NOT_STATED]])</f>
        <v>0</v>
      </c>
      <c r="N9" s="103" t="s">
        <v>437</v>
      </c>
    </row>
    <row r="10" spans="1:18" ht="17.25" customHeight="1" thickBot="1">
      <c r="A10" s="777" t="s">
        <v>128</v>
      </c>
      <c r="B10" s="81">
        <v>90</v>
      </c>
      <c r="C10" s="81">
        <v>0</v>
      </c>
      <c r="D10" s="81">
        <v>0</v>
      </c>
      <c r="E10" s="81">
        <v>0</v>
      </c>
      <c r="F10" s="81">
        <v>0</v>
      </c>
      <c r="G10" s="7">
        <f>SUM(Table_Default__XLS_TAB_35[[#This Row],[Q_NONE_CNT]:[Q_NOT_STATED]])</f>
        <v>90</v>
      </c>
      <c r="H10" s="81">
        <v>22</v>
      </c>
      <c r="I10" s="81">
        <v>0</v>
      </c>
      <c r="J10" s="81">
        <v>0</v>
      </c>
      <c r="K10" s="81">
        <v>0</v>
      </c>
      <c r="L10" s="81">
        <v>0</v>
      </c>
      <c r="M10" s="7">
        <f>SUM(Table_Default__XLS_TAB_35[[#This Row],[NQ_NONE_CNT]:[NQ_NOT_STATED]])</f>
        <v>22</v>
      </c>
      <c r="N10" s="103" t="s">
        <v>128</v>
      </c>
    </row>
    <row r="11" spans="1:18" ht="17.25" customHeight="1" thickBot="1">
      <c r="A11" s="777" t="s">
        <v>127</v>
      </c>
      <c r="B11" s="81">
        <v>260</v>
      </c>
      <c r="C11" s="81">
        <v>0</v>
      </c>
      <c r="D11" s="81">
        <v>0</v>
      </c>
      <c r="E11" s="81">
        <v>0</v>
      </c>
      <c r="F11" s="81">
        <v>0</v>
      </c>
      <c r="G11" s="7">
        <f>SUM(Table_Default__XLS_TAB_35[[#This Row],[Q_NONE_CNT]:[Q_NOT_STATED]])</f>
        <v>260</v>
      </c>
      <c r="H11" s="81">
        <v>84</v>
      </c>
      <c r="I11" s="81">
        <v>0</v>
      </c>
      <c r="J11" s="81">
        <v>0</v>
      </c>
      <c r="K11" s="81">
        <v>0</v>
      </c>
      <c r="L11" s="81">
        <v>0</v>
      </c>
      <c r="M11" s="7">
        <f>SUM(Table_Default__XLS_TAB_35[[#This Row],[NQ_NONE_CNT]:[NQ_NOT_STATED]])</f>
        <v>84</v>
      </c>
      <c r="N11" s="103" t="s">
        <v>127</v>
      </c>
    </row>
    <row r="12" spans="1:18" ht="17.25" customHeight="1" thickBot="1">
      <c r="A12" s="777" t="s">
        <v>126</v>
      </c>
      <c r="B12" s="81">
        <v>210</v>
      </c>
      <c r="C12" s="81">
        <v>0</v>
      </c>
      <c r="D12" s="81">
        <v>0</v>
      </c>
      <c r="E12" s="81">
        <v>0</v>
      </c>
      <c r="F12" s="81">
        <v>0</v>
      </c>
      <c r="G12" s="7">
        <f>SUM(Table_Default__XLS_TAB_35[[#This Row],[Q_NONE_CNT]:[Q_NOT_STATED]])</f>
        <v>210</v>
      </c>
      <c r="H12" s="81">
        <v>120</v>
      </c>
      <c r="I12" s="81">
        <v>0</v>
      </c>
      <c r="J12" s="81">
        <v>0</v>
      </c>
      <c r="K12" s="81">
        <v>0</v>
      </c>
      <c r="L12" s="81">
        <v>0</v>
      </c>
      <c r="M12" s="7">
        <f>SUM(Table_Default__XLS_TAB_35[[#This Row],[NQ_NONE_CNT]:[NQ_NOT_STATED]])</f>
        <v>120</v>
      </c>
      <c r="N12" s="103" t="s">
        <v>126</v>
      </c>
    </row>
    <row r="13" spans="1:18" ht="17.25" customHeight="1" thickBot="1">
      <c r="A13" s="777" t="s">
        <v>125</v>
      </c>
      <c r="B13" s="81">
        <v>165</v>
      </c>
      <c r="C13" s="81">
        <v>0</v>
      </c>
      <c r="D13" s="81">
        <v>0</v>
      </c>
      <c r="E13" s="81">
        <v>0</v>
      </c>
      <c r="F13" s="81">
        <v>0</v>
      </c>
      <c r="G13" s="7">
        <f>SUM(Table_Default__XLS_TAB_35[[#This Row],[Q_NONE_CNT]:[Q_NOT_STATED]])</f>
        <v>165</v>
      </c>
      <c r="H13" s="81">
        <v>166</v>
      </c>
      <c r="I13" s="81">
        <v>0</v>
      </c>
      <c r="J13" s="81">
        <v>0</v>
      </c>
      <c r="K13" s="81">
        <v>0</v>
      </c>
      <c r="L13" s="81">
        <v>0</v>
      </c>
      <c r="M13" s="7">
        <f>SUM(Table_Default__XLS_TAB_35[[#This Row],[NQ_NONE_CNT]:[NQ_NOT_STATED]])</f>
        <v>166</v>
      </c>
      <c r="N13" s="103" t="s">
        <v>125</v>
      </c>
    </row>
    <row r="14" spans="1:18" ht="17.25" customHeight="1" thickBot="1">
      <c r="A14" s="777" t="s">
        <v>124</v>
      </c>
      <c r="B14" s="81">
        <v>116</v>
      </c>
      <c r="C14" s="81">
        <v>0</v>
      </c>
      <c r="D14" s="81">
        <v>0</v>
      </c>
      <c r="E14" s="81">
        <v>0</v>
      </c>
      <c r="F14" s="81">
        <v>0</v>
      </c>
      <c r="G14" s="7">
        <f>SUM(Table_Default__XLS_TAB_35[[#This Row],[Q_NONE_CNT]:[Q_NOT_STATED]])</f>
        <v>116</v>
      </c>
      <c r="H14" s="81">
        <v>106</v>
      </c>
      <c r="I14" s="81">
        <v>0</v>
      </c>
      <c r="J14" s="81">
        <v>0</v>
      </c>
      <c r="K14" s="81">
        <v>0</v>
      </c>
      <c r="L14" s="81">
        <v>0</v>
      </c>
      <c r="M14" s="7">
        <f>SUM(Table_Default__XLS_TAB_35[[#This Row],[NQ_NONE_CNT]:[NQ_NOT_STATED]])</f>
        <v>106</v>
      </c>
      <c r="N14" s="103" t="s">
        <v>124</v>
      </c>
    </row>
    <row r="15" spans="1:18" ht="17.25" customHeight="1" thickBot="1">
      <c r="A15" s="777" t="s">
        <v>123</v>
      </c>
      <c r="B15" s="81">
        <v>94</v>
      </c>
      <c r="C15" s="81">
        <v>0</v>
      </c>
      <c r="D15" s="81">
        <v>0</v>
      </c>
      <c r="E15" s="81">
        <v>0</v>
      </c>
      <c r="F15" s="81">
        <v>0</v>
      </c>
      <c r="G15" s="7">
        <f>SUM(Table_Default__XLS_TAB_35[[#This Row],[Q_NONE_CNT]:[Q_NOT_STATED]])</f>
        <v>94</v>
      </c>
      <c r="H15" s="81">
        <v>93</v>
      </c>
      <c r="I15" s="81">
        <v>0</v>
      </c>
      <c r="J15" s="81">
        <v>0</v>
      </c>
      <c r="K15" s="81">
        <v>0</v>
      </c>
      <c r="L15" s="81">
        <v>0</v>
      </c>
      <c r="M15" s="7">
        <f>SUM(Table_Default__XLS_TAB_35[[#This Row],[NQ_NONE_CNT]:[NQ_NOT_STATED]])</f>
        <v>93</v>
      </c>
      <c r="N15" s="103" t="s">
        <v>123</v>
      </c>
    </row>
    <row r="16" spans="1:18" ht="17.25" customHeight="1" thickBot="1">
      <c r="A16" s="777" t="s">
        <v>122</v>
      </c>
      <c r="B16" s="81">
        <v>76</v>
      </c>
      <c r="C16" s="81">
        <v>0</v>
      </c>
      <c r="D16" s="81">
        <v>1</v>
      </c>
      <c r="E16" s="81">
        <v>0</v>
      </c>
      <c r="F16" s="81">
        <v>0</v>
      </c>
      <c r="G16" s="7">
        <f>SUM(Table_Default__XLS_TAB_35[[#This Row],[Q_NONE_CNT]:[Q_NOT_STATED]])</f>
        <v>77</v>
      </c>
      <c r="H16" s="81">
        <v>49</v>
      </c>
      <c r="I16" s="81">
        <v>0</v>
      </c>
      <c r="J16" s="81">
        <v>0</v>
      </c>
      <c r="K16" s="81">
        <v>0</v>
      </c>
      <c r="L16" s="81">
        <v>0</v>
      </c>
      <c r="M16" s="7">
        <f>SUM(Table_Default__XLS_TAB_35[[#This Row],[NQ_NONE_CNT]:[NQ_NOT_STATED]])</f>
        <v>49</v>
      </c>
      <c r="N16" s="103" t="s">
        <v>122</v>
      </c>
    </row>
    <row r="17" spans="1:14" ht="17.25" customHeight="1" thickBot="1">
      <c r="A17" s="777" t="s">
        <v>121</v>
      </c>
      <c r="B17" s="81">
        <v>45</v>
      </c>
      <c r="C17" s="81">
        <v>0</v>
      </c>
      <c r="D17" s="81">
        <v>0</v>
      </c>
      <c r="E17" s="81">
        <v>0</v>
      </c>
      <c r="F17" s="81">
        <v>0</v>
      </c>
      <c r="G17" s="7">
        <f>SUM(Table_Default__XLS_TAB_35[[#This Row],[Q_NONE_CNT]:[Q_NOT_STATED]])</f>
        <v>45</v>
      </c>
      <c r="H17" s="81">
        <v>33</v>
      </c>
      <c r="I17" s="81">
        <v>1</v>
      </c>
      <c r="J17" s="81">
        <v>0</v>
      </c>
      <c r="K17" s="81">
        <v>0</v>
      </c>
      <c r="L17" s="81">
        <v>0</v>
      </c>
      <c r="M17" s="7">
        <f>SUM(Table_Default__XLS_TAB_35[[#This Row],[NQ_NONE_CNT]:[NQ_NOT_STATED]])</f>
        <v>34</v>
      </c>
      <c r="N17" s="103" t="s">
        <v>121</v>
      </c>
    </row>
    <row r="18" spans="1:14" ht="17.25" customHeight="1" thickBot="1">
      <c r="A18" s="777" t="s">
        <v>120</v>
      </c>
      <c r="B18" s="81">
        <v>30</v>
      </c>
      <c r="C18" s="81">
        <v>0</v>
      </c>
      <c r="D18" s="81">
        <v>0</v>
      </c>
      <c r="E18" s="81">
        <v>0</v>
      </c>
      <c r="F18" s="81">
        <v>0</v>
      </c>
      <c r="G18" s="7">
        <f>SUM(Table_Default__XLS_TAB_35[[#This Row],[Q_NONE_CNT]:[Q_NOT_STATED]])</f>
        <v>30</v>
      </c>
      <c r="H18" s="81">
        <v>14</v>
      </c>
      <c r="I18" s="81">
        <v>0</v>
      </c>
      <c r="J18" s="81">
        <v>0</v>
      </c>
      <c r="K18" s="81">
        <v>0</v>
      </c>
      <c r="L18" s="81">
        <v>0</v>
      </c>
      <c r="M18" s="7">
        <f>SUM(Table_Default__XLS_TAB_35[[#This Row],[NQ_NONE_CNT]:[NQ_NOT_STATED]])</f>
        <v>14</v>
      </c>
      <c r="N18" s="103" t="s">
        <v>120</v>
      </c>
    </row>
    <row r="19" spans="1:14" ht="17.25" customHeight="1" thickBot="1">
      <c r="A19" s="777" t="s">
        <v>119</v>
      </c>
      <c r="B19" s="81">
        <v>15</v>
      </c>
      <c r="C19" s="81">
        <v>0</v>
      </c>
      <c r="D19" s="81">
        <v>0</v>
      </c>
      <c r="E19" s="81">
        <v>0</v>
      </c>
      <c r="F19" s="81">
        <v>0</v>
      </c>
      <c r="G19" s="7">
        <f>SUM(Table_Default__XLS_TAB_35[[#This Row],[Q_NONE_CNT]:[Q_NOT_STATED]])</f>
        <v>15</v>
      </c>
      <c r="H19" s="81">
        <v>3</v>
      </c>
      <c r="I19" s="81">
        <v>0</v>
      </c>
      <c r="J19" s="81">
        <v>0</v>
      </c>
      <c r="K19" s="81">
        <v>0</v>
      </c>
      <c r="L19" s="81">
        <v>0</v>
      </c>
      <c r="M19" s="7">
        <f>SUM(Table_Default__XLS_TAB_35[[#This Row],[NQ_NONE_CNT]:[NQ_NOT_STATED]])</f>
        <v>3</v>
      </c>
      <c r="N19" s="103" t="s">
        <v>119</v>
      </c>
    </row>
    <row r="20" spans="1:14" ht="17.25" customHeight="1" thickBot="1">
      <c r="A20" s="777" t="s">
        <v>118</v>
      </c>
      <c r="B20" s="81">
        <v>9</v>
      </c>
      <c r="C20" s="81">
        <v>0</v>
      </c>
      <c r="D20" s="81">
        <v>0</v>
      </c>
      <c r="E20" s="81">
        <v>0</v>
      </c>
      <c r="F20" s="81">
        <v>0</v>
      </c>
      <c r="G20" s="7">
        <f>SUM(Table_Default__XLS_TAB_35[[#This Row],[Q_NONE_CNT]:[Q_NOT_STATED]])</f>
        <v>9</v>
      </c>
      <c r="H20" s="81">
        <v>2</v>
      </c>
      <c r="I20" s="81">
        <v>0</v>
      </c>
      <c r="J20" s="81">
        <v>0</v>
      </c>
      <c r="K20" s="81">
        <v>0</v>
      </c>
      <c r="L20" s="81">
        <v>0</v>
      </c>
      <c r="M20" s="7">
        <f>SUM(Table_Default__XLS_TAB_35[[#This Row],[NQ_NONE_CNT]:[NQ_NOT_STATED]])</f>
        <v>2</v>
      </c>
      <c r="N20" s="103" t="s">
        <v>118</v>
      </c>
    </row>
    <row r="21" spans="1:14" ht="17.25" customHeight="1" thickBot="1">
      <c r="A21" s="777" t="s">
        <v>117</v>
      </c>
      <c r="B21" s="81">
        <v>3</v>
      </c>
      <c r="C21" s="81">
        <v>0</v>
      </c>
      <c r="D21" s="81">
        <v>0</v>
      </c>
      <c r="E21" s="81">
        <v>0</v>
      </c>
      <c r="F21" s="81">
        <v>0</v>
      </c>
      <c r="G21" s="7">
        <f>SUM(Table_Default__XLS_TAB_35[[#This Row],[Q_NONE_CNT]:[Q_NOT_STATED]])</f>
        <v>3</v>
      </c>
      <c r="H21" s="81">
        <v>2</v>
      </c>
      <c r="I21" s="81">
        <v>0</v>
      </c>
      <c r="J21" s="81">
        <v>0</v>
      </c>
      <c r="K21" s="81">
        <v>0</v>
      </c>
      <c r="L21" s="81">
        <v>0</v>
      </c>
      <c r="M21" s="7">
        <f>SUM(Table_Default__XLS_TAB_35[[#This Row],[NQ_NONE_CNT]:[NQ_NOT_STATED]])</f>
        <v>2</v>
      </c>
      <c r="N21" s="103" t="s">
        <v>117</v>
      </c>
    </row>
    <row r="22" spans="1:14" ht="17.25" customHeight="1" thickBot="1">
      <c r="A22" s="854" t="s">
        <v>15</v>
      </c>
      <c r="B22" s="282">
        <v>0</v>
      </c>
      <c r="C22" s="282">
        <v>0</v>
      </c>
      <c r="D22" s="282">
        <v>0</v>
      </c>
      <c r="E22" s="282">
        <v>0</v>
      </c>
      <c r="F22" s="282">
        <v>0</v>
      </c>
      <c r="G22" s="7">
        <f>SUM(Table_Default__XLS_TAB_35[[#This Row],[Q_NONE_CNT]:[Q_NOT_STATED]])</f>
        <v>0</v>
      </c>
      <c r="H22" s="282">
        <v>23</v>
      </c>
      <c r="I22" s="282">
        <v>0</v>
      </c>
      <c r="J22" s="282">
        <v>0</v>
      </c>
      <c r="K22" s="282">
        <v>0</v>
      </c>
      <c r="L22" s="282">
        <v>0</v>
      </c>
      <c r="M22" s="7">
        <f>SUM(Table_Default__XLS_TAB_35[[#This Row],[NQ_NONE_CNT]:[NQ_NOT_STATED]])</f>
        <v>23</v>
      </c>
      <c r="N22" s="855" t="s">
        <v>16</v>
      </c>
    </row>
    <row r="23" spans="1:14" ht="24.75" customHeight="1">
      <c r="A23" s="98" t="s">
        <v>17</v>
      </c>
      <c r="B23" s="351">
        <f t="shared" ref="B23:M23" si="0">SUM(B9:B22)</f>
        <v>1114</v>
      </c>
      <c r="C23" s="351">
        <f>SUM(C9:C22)</f>
        <v>0</v>
      </c>
      <c r="D23" s="351">
        <f t="shared" si="0"/>
        <v>1</v>
      </c>
      <c r="E23" s="351">
        <f t="shared" si="0"/>
        <v>0</v>
      </c>
      <c r="F23" s="351">
        <f t="shared" si="0"/>
        <v>0</v>
      </c>
      <c r="G23" s="351">
        <f t="shared" si="0"/>
        <v>1115</v>
      </c>
      <c r="H23" s="351">
        <f>SUM(H9:H22)</f>
        <v>717</v>
      </c>
      <c r="I23" s="351">
        <f t="shared" si="0"/>
        <v>1</v>
      </c>
      <c r="J23" s="351">
        <f>SUM(J9:J22)</f>
        <v>0</v>
      </c>
      <c r="K23" s="351">
        <f t="shared" si="0"/>
        <v>0</v>
      </c>
      <c r="L23" s="351">
        <f t="shared" si="0"/>
        <v>0</v>
      </c>
      <c r="M23" s="351">
        <f t="shared" si="0"/>
        <v>718</v>
      </c>
      <c r="N23" s="99" t="s">
        <v>56</v>
      </c>
    </row>
  </sheetData>
  <mergeCells count="9">
    <mergeCell ref="B6:M6"/>
    <mergeCell ref="A1:N1"/>
    <mergeCell ref="A2:N2"/>
    <mergeCell ref="A3:N3"/>
    <mergeCell ref="A4:N4"/>
    <mergeCell ref="A6:A8"/>
    <mergeCell ref="N6:N8"/>
    <mergeCell ref="B7:G7"/>
    <mergeCell ref="H7:M7"/>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L18"/>
  <sheetViews>
    <sheetView rightToLeft="1" view="pageBreakPreview" topLeftCell="A4" zoomScaleNormal="75" zoomScaleSheetLayoutView="100" workbookViewId="0">
      <selection activeCell="M18" sqref="M18"/>
    </sheetView>
  </sheetViews>
  <sheetFormatPr defaultColWidth="9.140625" defaultRowHeight="12.75"/>
  <cols>
    <col min="1" max="1" width="18.85546875" style="1" customWidth="1"/>
    <col min="2" max="4" width="10.42578125" style="1" customWidth="1"/>
    <col min="5" max="5" width="11" style="1" customWidth="1"/>
    <col min="6" max="10" width="10.42578125" style="1" customWidth="1"/>
    <col min="11" max="11" width="10.5703125" style="1" customWidth="1"/>
    <col min="12" max="12" width="23.5703125" style="1" customWidth="1"/>
    <col min="13" max="16384" width="9.140625" style="1"/>
  </cols>
  <sheetData>
    <row r="1" spans="1:12" s="2" customFormat="1" ht="24" customHeight="1">
      <c r="A1" s="1009" t="s">
        <v>363</v>
      </c>
      <c r="B1" s="1009"/>
      <c r="C1" s="1009"/>
      <c r="D1" s="1009"/>
      <c r="E1" s="1009"/>
      <c r="F1" s="1009"/>
      <c r="G1" s="1009"/>
      <c r="H1" s="1009"/>
      <c r="I1" s="1009"/>
      <c r="J1" s="1009"/>
      <c r="K1" s="1009"/>
      <c r="L1" s="1009"/>
    </row>
    <row r="2" spans="1:12" s="3" customFormat="1" ht="18">
      <c r="A2" s="1036" t="s">
        <v>362</v>
      </c>
      <c r="B2" s="1036"/>
      <c r="C2" s="1036"/>
      <c r="D2" s="1036"/>
      <c r="E2" s="1036"/>
      <c r="F2" s="1036"/>
      <c r="G2" s="1036"/>
      <c r="H2" s="1036"/>
      <c r="I2" s="1036"/>
      <c r="J2" s="1036"/>
      <c r="K2" s="1036"/>
      <c r="L2" s="1036"/>
    </row>
    <row r="3" spans="1:12" s="2" customFormat="1" ht="15.75">
      <c r="A3" s="1037">
        <v>2019</v>
      </c>
      <c r="B3" s="1037"/>
      <c r="C3" s="1037"/>
      <c r="D3" s="1037"/>
      <c r="E3" s="1037"/>
      <c r="F3" s="1037"/>
      <c r="G3" s="1037"/>
      <c r="H3" s="1037"/>
      <c r="I3" s="1037"/>
      <c r="J3" s="1037"/>
      <c r="K3" s="1037"/>
      <c r="L3" s="1037"/>
    </row>
    <row r="4" spans="1:12" s="2" customFormat="1" ht="15.75">
      <c r="A4" s="1037" t="s">
        <v>53</v>
      </c>
      <c r="B4" s="1037"/>
      <c r="C4" s="1037"/>
      <c r="D4" s="1037"/>
      <c r="E4" s="1037"/>
      <c r="F4" s="1037"/>
      <c r="G4" s="1037"/>
      <c r="H4" s="1037"/>
      <c r="I4" s="1037"/>
      <c r="J4" s="1037"/>
      <c r="K4" s="1037"/>
      <c r="L4" s="1037"/>
    </row>
    <row r="5" spans="1:12" s="2" customFormat="1" ht="15.75">
      <c r="A5" s="361"/>
      <c r="B5" s="361"/>
      <c r="C5" s="361"/>
      <c r="D5" s="361"/>
      <c r="E5" s="361"/>
      <c r="F5" s="361"/>
      <c r="G5" s="361"/>
      <c r="H5" s="361"/>
      <c r="I5" s="361"/>
      <c r="J5" s="361"/>
      <c r="K5" s="361"/>
      <c r="L5" s="361"/>
    </row>
    <row r="6" spans="1:12" ht="15.75">
      <c r="A6" s="373" t="s">
        <v>521</v>
      </c>
      <c r="B6" s="377"/>
      <c r="C6" s="377"/>
      <c r="D6" s="377"/>
      <c r="E6" s="377"/>
      <c r="F6" s="377"/>
      <c r="G6" s="377"/>
      <c r="H6" s="377"/>
      <c r="I6" s="377"/>
      <c r="J6" s="377"/>
      <c r="K6" s="377"/>
      <c r="L6" s="375" t="s">
        <v>522</v>
      </c>
    </row>
    <row r="7" spans="1:12" ht="30.75" customHeight="1" thickBot="1">
      <c r="A7" s="1099" t="s">
        <v>208</v>
      </c>
      <c r="B7" s="1113" t="s">
        <v>207</v>
      </c>
      <c r="C7" s="1113"/>
      <c r="D7" s="1113"/>
      <c r="E7" s="1113"/>
      <c r="F7" s="1113"/>
      <c r="G7" s="1113"/>
      <c r="H7" s="1113"/>
      <c r="I7" s="1113"/>
      <c r="J7" s="1113"/>
      <c r="K7" s="1114" t="s">
        <v>617</v>
      </c>
      <c r="L7" s="1106" t="s">
        <v>206</v>
      </c>
    </row>
    <row r="8" spans="1:12" ht="60.75" customHeight="1">
      <c r="A8" s="1108"/>
      <c r="B8" s="179" t="s">
        <v>625</v>
      </c>
      <c r="C8" s="179" t="s">
        <v>660</v>
      </c>
      <c r="D8" s="179" t="s">
        <v>743</v>
      </c>
      <c r="E8" s="179" t="s">
        <v>623</v>
      </c>
      <c r="F8" s="179" t="s">
        <v>622</v>
      </c>
      <c r="G8" s="179" t="s">
        <v>621</v>
      </c>
      <c r="H8" s="179" t="s">
        <v>620</v>
      </c>
      <c r="I8" s="179" t="s">
        <v>626</v>
      </c>
      <c r="J8" s="325" t="s">
        <v>619</v>
      </c>
      <c r="K8" s="1115"/>
      <c r="L8" s="1109"/>
    </row>
    <row r="9" spans="1:12" ht="24" customHeight="1" thickBot="1">
      <c r="A9" s="823" t="s">
        <v>205</v>
      </c>
      <c r="B9" s="119">
        <v>0</v>
      </c>
      <c r="C9" s="81">
        <v>0</v>
      </c>
      <c r="D9" s="81">
        <v>1</v>
      </c>
      <c r="E9" s="81">
        <v>0</v>
      </c>
      <c r="F9" s="81">
        <v>4</v>
      </c>
      <c r="G9" s="81">
        <v>0</v>
      </c>
      <c r="H9" s="81">
        <v>0</v>
      </c>
      <c r="I9" s="81">
        <v>2</v>
      </c>
      <c r="J9" s="120">
        <f>SUM(Table_Default__XLS_TAB_36_160[[#This Row],[ILLITERATE_CNT]:[NOT_STATED_CNT]])</f>
        <v>7</v>
      </c>
      <c r="K9" s="8">
        <f t="shared" ref="K9:K16" si="0">J9/$J$17%</f>
        <v>0.62780269058295957</v>
      </c>
      <c r="L9" s="64" t="s">
        <v>204</v>
      </c>
    </row>
    <row r="10" spans="1:12" ht="24" customHeight="1" thickBot="1">
      <c r="A10" s="835" t="s">
        <v>203</v>
      </c>
      <c r="B10" s="119">
        <v>0</v>
      </c>
      <c r="C10" s="81">
        <v>0</v>
      </c>
      <c r="D10" s="81">
        <v>0</v>
      </c>
      <c r="E10" s="81">
        <v>2</v>
      </c>
      <c r="F10" s="81">
        <v>3</v>
      </c>
      <c r="G10" s="81">
        <v>0</v>
      </c>
      <c r="H10" s="81">
        <v>0</v>
      </c>
      <c r="I10" s="81">
        <v>1</v>
      </c>
      <c r="J10" s="120">
        <f>SUM(Table_Default__XLS_TAB_36_160[[#This Row],[ILLITERATE_CNT]:[NOT_STATED_CNT]])</f>
        <v>6</v>
      </c>
      <c r="K10" s="9">
        <f t="shared" si="0"/>
        <v>0.53811659192825112</v>
      </c>
      <c r="L10" s="746" t="s">
        <v>202</v>
      </c>
    </row>
    <row r="11" spans="1:12" ht="24" customHeight="1" thickBot="1">
      <c r="A11" s="836" t="s">
        <v>742</v>
      </c>
      <c r="B11" s="119">
        <v>1</v>
      </c>
      <c r="C11" s="81">
        <v>4</v>
      </c>
      <c r="D11" s="81">
        <v>9</v>
      </c>
      <c r="E11" s="81">
        <v>19</v>
      </c>
      <c r="F11" s="81">
        <v>39</v>
      </c>
      <c r="G11" s="81">
        <v>1</v>
      </c>
      <c r="H11" s="81">
        <v>8</v>
      </c>
      <c r="I11" s="81">
        <v>6</v>
      </c>
      <c r="J11" s="120">
        <f>SUM(Table_Default__XLS_TAB_36_160[[#This Row],[ILLITERATE_CNT]:[NOT_STATED_CNT]])</f>
        <v>87</v>
      </c>
      <c r="K11" s="10">
        <f t="shared" si="0"/>
        <v>7.8026905829596407</v>
      </c>
      <c r="L11" s="62" t="s">
        <v>200</v>
      </c>
    </row>
    <row r="12" spans="1:12" ht="24" customHeight="1" thickBot="1">
      <c r="A12" s="835" t="s">
        <v>199</v>
      </c>
      <c r="B12" s="119">
        <v>0</v>
      </c>
      <c r="C12" s="81">
        <v>3</v>
      </c>
      <c r="D12" s="81">
        <v>16</v>
      </c>
      <c r="E12" s="81">
        <v>20</v>
      </c>
      <c r="F12" s="81">
        <v>72</v>
      </c>
      <c r="G12" s="81">
        <v>2</v>
      </c>
      <c r="H12" s="81">
        <v>27</v>
      </c>
      <c r="I12" s="81">
        <v>7</v>
      </c>
      <c r="J12" s="120">
        <f>SUM(Table_Default__XLS_TAB_36_160[[#This Row],[ILLITERATE_CNT]:[NOT_STATED_CNT]])</f>
        <v>147</v>
      </c>
      <c r="K12" s="9">
        <f t="shared" si="0"/>
        <v>13.183856502242152</v>
      </c>
      <c r="L12" s="746" t="s">
        <v>198</v>
      </c>
    </row>
    <row r="13" spans="1:12" ht="24" customHeight="1" thickBot="1">
      <c r="A13" s="836" t="s">
        <v>197</v>
      </c>
      <c r="B13" s="119">
        <v>1</v>
      </c>
      <c r="C13" s="81">
        <v>0</v>
      </c>
      <c r="D13" s="81">
        <v>8</v>
      </c>
      <c r="E13" s="81">
        <v>47</v>
      </c>
      <c r="F13" s="81">
        <v>294</v>
      </c>
      <c r="G13" s="81">
        <v>6</v>
      </c>
      <c r="H13" s="81">
        <v>72</v>
      </c>
      <c r="I13" s="81">
        <v>20</v>
      </c>
      <c r="J13" s="120">
        <f>SUM(Table_Default__XLS_TAB_36_160[[#This Row],[ILLITERATE_CNT]:[NOT_STATED_CNT]])</f>
        <v>448</v>
      </c>
      <c r="K13" s="10">
        <f t="shared" si="0"/>
        <v>40.179372197309412</v>
      </c>
      <c r="L13" s="62" t="s">
        <v>196</v>
      </c>
    </row>
    <row r="14" spans="1:12" ht="24" customHeight="1" thickBot="1">
      <c r="A14" s="835" t="s">
        <v>559</v>
      </c>
      <c r="B14" s="119">
        <v>0</v>
      </c>
      <c r="C14" s="81">
        <v>0</v>
      </c>
      <c r="D14" s="81">
        <v>0</v>
      </c>
      <c r="E14" s="81">
        <v>2</v>
      </c>
      <c r="F14" s="81">
        <v>14</v>
      </c>
      <c r="G14" s="81">
        <v>1</v>
      </c>
      <c r="H14" s="81">
        <v>11</v>
      </c>
      <c r="I14" s="81">
        <v>1</v>
      </c>
      <c r="J14" s="120">
        <f>SUM(Table_Default__XLS_TAB_36_160[[#This Row],[ILLITERATE_CNT]:[NOT_STATED_CNT]])</f>
        <v>29</v>
      </c>
      <c r="K14" s="9">
        <f t="shared" si="0"/>
        <v>2.600896860986547</v>
      </c>
      <c r="L14" s="746" t="s">
        <v>560</v>
      </c>
    </row>
    <row r="15" spans="1:12" ht="24" customHeight="1" thickBot="1">
      <c r="A15" s="836" t="s">
        <v>195</v>
      </c>
      <c r="B15" s="119">
        <v>0</v>
      </c>
      <c r="C15" s="81">
        <v>0</v>
      </c>
      <c r="D15" s="81">
        <v>2</v>
      </c>
      <c r="E15" s="81">
        <v>9</v>
      </c>
      <c r="F15" s="81">
        <v>150</v>
      </c>
      <c r="G15" s="81">
        <v>10</v>
      </c>
      <c r="H15" s="81">
        <v>121</v>
      </c>
      <c r="I15" s="81">
        <v>22</v>
      </c>
      <c r="J15" s="120">
        <f>SUM(Table_Default__XLS_TAB_36_160[[#This Row],[ILLITERATE_CNT]:[NOT_STATED_CNT]])</f>
        <v>314</v>
      </c>
      <c r="K15" s="10">
        <f t="shared" si="0"/>
        <v>28.161434977578473</v>
      </c>
      <c r="L15" s="62" t="s">
        <v>194</v>
      </c>
    </row>
    <row r="16" spans="1:12" ht="24" customHeight="1" thickBot="1">
      <c r="A16" s="844" t="s">
        <v>15</v>
      </c>
      <c r="B16" s="845">
        <v>0</v>
      </c>
      <c r="C16" s="282">
        <v>0</v>
      </c>
      <c r="D16" s="282">
        <v>2</v>
      </c>
      <c r="E16" s="282">
        <v>0</v>
      </c>
      <c r="F16" s="282">
        <v>7</v>
      </c>
      <c r="G16" s="282">
        <v>0</v>
      </c>
      <c r="H16" s="282">
        <v>0</v>
      </c>
      <c r="I16" s="282">
        <v>68</v>
      </c>
      <c r="J16" s="120">
        <f>SUM(Table_Default__XLS_TAB_36_160[[#This Row],[ILLITERATE_CNT]:[NOT_STATED_CNT]])</f>
        <v>77</v>
      </c>
      <c r="K16" s="60">
        <f t="shared" si="0"/>
        <v>6.9058295964125556</v>
      </c>
      <c r="L16" s="748" t="s">
        <v>193</v>
      </c>
    </row>
    <row r="17" spans="1:12" ht="27" customHeight="1">
      <c r="A17" s="258" t="s">
        <v>192</v>
      </c>
      <c r="B17" s="253">
        <f>SUM(B9:B16)</f>
        <v>2</v>
      </c>
      <c r="C17" s="253">
        <f>SUM(C9:C16)</f>
        <v>7</v>
      </c>
      <c r="D17" s="253">
        <f>SUM(D9:D16)</f>
        <v>38</v>
      </c>
      <c r="E17" s="253">
        <f t="shared" ref="E17" si="1">SUM(E9:E16)</f>
        <v>99</v>
      </c>
      <c r="F17" s="253">
        <f t="shared" ref="F17" si="2">SUM(F9:F16)</f>
        <v>583</v>
      </c>
      <c r="G17" s="253">
        <f t="shared" ref="G17:H17" si="3">SUM(G9:G16)</f>
        <v>20</v>
      </c>
      <c r="H17" s="253">
        <f t="shared" si="3"/>
        <v>239</v>
      </c>
      <c r="I17" s="253">
        <f t="shared" ref="I17" si="4">SUM(I9:I16)</f>
        <v>127</v>
      </c>
      <c r="J17" s="253">
        <f t="shared" ref="J17" si="5">SUM(J9:J16)</f>
        <v>1115</v>
      </c>
      <c r="K17" s="254">
        <f t="shared" ref="K17" si="6">SUM(K7:K16)</f>
        <v>100</v>
      </c>
      <c r="L17" s="259" t="s">
        <v>18</v>
      </c>
    </row>
    <row r="18" spans="1:12" ht="27" customHeight="1">
      <c r="A18" s="100" t="s">
        <v>191</v>
      </c>
      <c r="B18" s="494">
        <f>B17/$J$17%</f>
        <v>0.17937219730941703</v>
      </c>
      <c r="C18" s="494">
        <f t="shared" ref="C18:I18" si="7">C17/$J$17%</f>
        <v>0.62780269058295957</v>
      </c>
      <c r="D18" s="494">
        <f t="shared" si="7"/>
        <v>3.4080717488789238</v>
      </c>
      <c r="E18" s="494">
        <f t="shared" si="7"/>
        <v>8.8789237668161434</v>
      </c>
      <c r="F18" s="494">
        <f t="shared" si="7"/>
        <v>52.286995515695068</v>
      </c>
      <c r="G18" s="494">
        <f t="shared" si="7"/>
        <v>1.7937219730941703</v>
      </c>
      <c r="H18" s="494">
        <f t="shared" si="7"/>
        <v>21.434977578475337</v>
      </c>
      <c r="I18" s="494">
        <f t="shared" si="7"/>
        <v>11.390134529147982</v>
      </c>
      <c r="J18" s="494">
        <f>SUM(B18:I18)</f>
        <v>100</v>
      </c>
      <c r="K18" s="1184" t="s">
        <v>190</v>
      </c>
      <c r="L18" s="1185"/>
    </row>
  </sheetData>
  <mergeCells count="9">
    <mergeCell ref="K18:L1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L18"/>
  <sheetViews>
    <sheetView rightToLeft="1" view="pageBreakPreview" topLeftCell="A4" zoomScaleNormal="75" zoomScaleSheetLayoutView="100" workbookViewId="0">
      <selection activeCell="M18" sqref="M18"/>
    </sheetView>
  </sheetViews>
  <sheetFormatPr defaultColWidth="9.140625" defaultRowHeight="12.75"/>
  <cols>
    <col min="1" max="1" width="18.85546875" style="1" customWidth="1"/>
    <col min="2" max="4" width="10.42578125" style="1" customWidth="1"/>
    <col min="5" max="5" width="11" style="1" customWidth="1"/>
    <col min="6" max="10" width="10.42578125" style="1" customWidth="1"/>
    <col min="11" max="11" width="10.5703125" style="1" customWidth="1"/>
    <col min="12" max="12" width="23.5703125" style="1" customWidth="1"/>
    <col min="13" max="16384" width="9.140625" style="1"/>
  </cols>
  <sheetData>
    <row r="1" spans="1:12" s="2" customFormat="1" ht="24" customHeight="1">
      <c r="A1" s="1009" t="s">
        <v>363</v>
      </c>
      <c r="B1" s="1009"/>
      <c r="C1" s="1009"/>
      <c r="D1" s="1009"/>
      <c r="E1" s="1009"/>
      <c r="F1" s="1009"/>
      <c r="G1" s="1009"/>
      <c r="H1" s="1009"/>
      <c r="I1" s="1009"/>
      <c r="J1" s="1009"/>
      <c r="K1" s="1009"/>
      <c r="L1" s="1009"/>
    </row>
    <row r="2" spans="1:12" s="3" customFormat="1" ht="18">
      <c r="A2" s="1036" t="s">
        <v>362</v>
      </c>
      <c r="B2" s="1036"/>
      <c r="C2" s="1036"/>
      <c r="D2" s="1036"/>
      <c r="E2" s="1036"/>
      <c r="F2" s="1036"/>
      <c r="G2" s="1036"/>
      <c r="H2" s="1036"/>
      <c r="I2" s="1036"/>
      <c r="J2" s="1036"/>
      <c r="K2" s="1036"/>
      <c r="L2" s="1036"/>
    </row>
    <row r="3" spans="1:12" s="2" customFormat="1" ht="15.75">
      <c r="A3" s="1037">
        <v>2019</v>
      </c>
      <c r="B3" s="1037"/>
      <c r="C3" s="1037"/>
      <c r="D3" s="1037"/>
      <c r="E3" s="1037"/>
      <c r="F3" s="1037"/>
      <c r="G3" s="1037"/>
      <c r="H3" s="1037"/>
      <c r="I3" s="1037"/>
      <c r="J3" s="1037"/>
      <c r="K3" s="1037"/>
      <c r="L3" s="1037"/>
    </row>
    <row r="4" spans="1:12" s="2" customFormat="1" ht="15.75">
      <c r="A4" s="1037" t="s">
        <v>52</v>
      </c>
      <c r="B4" s="1037"/>
      <c r="C4" s="1037"/>
      <c r="D4" s="1037"/>
      <c r="E4" s="1037"/>
      <c r="F4" s="1037"/>
      <c r="G4" s="1037"/>
      <c r="H4" s="1037"/>
      <c r="I4" s="1037"/>
      <c r="J4" s="1037"/>
      <c r="K4" s="1037"/>
      <c r="L4" s="1037"/>
    </row>
    <row r="5" spans="1:12" s="2" customFormat="1" ht="15.75">
      <c r="A5" s="361"/>
      <c r="B5" s="361"/>
      <c r="C5" s="361"/>
      <c r="D5" s="361"/>
      <c r="E5" s="361"/>
      <c r="F5" s="361"/>
      <c r="G5" s="361"/>
      <c r="H5" s="361"/>
      <c r="I5" s="361"/>
      <c r="J5" s="361"/>
      <c r="K5" s="361"/>
      <c r="L5" s="361"/>
    </row>
    <row r="6" spans="1:12" ht="15.75">
      <c r="A6" s="373" t="s">
        <v>525</v>
      </c>
      <c r="B6" s="377"/>
      <c r="C6" s="377"/>
      <c r="D6" s="377"/>
      <c r="E6" s="377"/>
      <c r="F6" s="377"/>
      <c r="G6" s="377"/>
      <c r="H6" s="377"/>
      <c r="I6" s="377"/>
      <c r="J6" s="377"/>
      <c r="K6" s="377"/>
      <c r="L6" s="375" t="s">
        <v>526</v>
      </c>
    </row>
    <row r="7" spans="1:12" ht="30.75" customHeight="1" thickBot="1">
      <c r="A7" s="1099" t="s">
        <v>208</v>
      </c>
      <c r="B7" s="1113" t="s">
        <v>207</v>
      </c>
      <c r="C7" s="1113"/>
      <c r="D7" s="1113"/>
      <c r="E7" s="1113"/>
      <c r="F7" s="1113"/>
      <c r="G7" s="1113"/>
      <c r="H7" s="1113"/>
      <c r="I7" s="1113"/>
      <c r="J7" s="1113"/>
      <c r="K7" s="1114" t="s">
        <v>617</v>
      </c>
      <c r="L7" s="1106" t="s">
        <v>206</v>
      </c>
    </row>
    <row r="8" spans="1:12" ht="60.75" customHeight="1">
      <c r="A8" s="1100"/>
      <c r="B8" s="179" t="s">
        <v>625</v>
      </c>
      <c r="C8" s="179" t="s">
        <v>660</v>
      </c>
      <c r="D8" s="324" t="s">
        <v>744</v>
      </c>
      <c r="E8" s="179" t="s">
        <v>623</v>
      </c>
      <c r="F8" s="179" t="s">
        <v>622</v>
      </c>
      <c r="G8" s="179" t="s">
        <v>621</v>
      </c>
      <c r="H8" s="179" t="s">
        <v>620</v>
      </c>
      <c r="I8" s="179" t="s">
        <v>626</v>
      </c>
      <c r="J8" s="325" t="s">
        <v>619</v>
      </c>
      <c r="K8" s="1128"/>
      <c r="L8" s="1107"/>
    </row>
    <row r="9" spans="1:12" ht="24" customHeight="1" thickBot="1">
      <c r="A9" s="834" t="s">
        <v>205</v>
      </c>
      <c r="B9" s="847">
        <v>0</v>
      </c>
      <c r="C9" s="784">
        <v>0</v>
      </c>
      <c r="D9" s="784">
        <v>0</v>
      </c>
      <c r="E9" s="784">
        <v>0</v>
      </c>
      <c r="F9" s="784">
        <v>0</v>
      </c>
      <c r="G9" s="784">
        <v>0</v>
      </c>
      <c r="H9" s="784">
        <v>0</v>
      </c>
      <c r="I9" s="784">
        <v>1</v>
      </c>
      <c r="J9" s="848">
        <f>SUM(Table_Default__XLS_TAB_36_280[[#This Row],[ILLITERATE_CNT]:[NOT_STATED_CNT]])</f>
        <v>1</v>
      </c>
      <c r="K9" s="849">
        <f t="shared" ref="K9:K16" si="0">J9/$J$17%</f>
        <v>0.1392757660167131</v>
      </c>
      <c r="L9" s="181" t="s">
        <v>204</v>
      </c>
    </row>
    <row r="10" spans="1:12" ht="24" customHeight="1" thickBot="1">
      <c r="A10" s="835" t="s">
        <v>203</v>
      </c>
      <c r="B10" s="119">
        <v>0</v>
      </c>
      <c r="C10" s="81">
        <v>2</v>
      </c>
      <c r="D10" s="81">
        <v>0</v>
      </c>
      <c r="E10" s="81">
        <v>0</v>
      </c>
      <c r="F10" s="81">
        <v>0</v>
      </c>
      <c r="G10" s="81">
        <v>0</v>
      </c>
      <c r="H10" s="81">
        <v>0</v>
      </c>
      <c r="I10" s="81">
        <v>0</v>
      </c>
      <c r="J10" s="848">
        <f>SUM(Table_Default__XLS_TAB_36_280[[#This Row],[ILLITERATE_CNT]:[NOT_STATED_CNT]])</f>
        <v>2</v>
      </c>
      <c r="K10" s="255">
        <f t="shared" si="0"/>
        <v>0.2785515320334262</v>
      </c>
      <c r="L10" s="746" t="s">
        <v>202</v>
      </c>
    </row>
    <row r="11" spans="1:12" ht="24" customHeight="1" thickBot="1">
      <c r="A11" s="836" t="s">
        <v>742</v>
      </c>
      <c r="B11" s="119">
        <v>0</v>
      </c>
      <c r="C11" s="81">
        <v>0</v>
      </c>
      <c r="D11" s="81">
        <v>1</v>
      </c>
      <c r="E11" s="81">
        <v>1</v>
      </c>
      <c r="F11" s="81">
        <v>7</v>
      </c>
      <c r="G11" s="81">
        <v>0</v>
      </c>
      <c r="H11" s="81">
        <v>2</v>
      </c>
      <c r="I11" s="81">
        <v>0</v>
      </c>
      <c r="J11" s="848">
        <f>SUM(Table_Default__XLS_TAB_36_280[[#This Row],[ILLITERATE_CNT]:[NOT_STATED_CNT]])</f>
        <v>11</v>
      </c>
      <c r="K11" s="256">
        <f t="shared" si="0"/>
        <v>1.532033426183844</v>
      </c>
      <c r="L11" s="62" t="s">
        <v>200</v>
      </c>
    </row>
    <row r="12" spans="1:12" ht="24" customHeight="1" thickBot="1">
      <c r="A12" s="835" t="s">
        <v>199</v>
      </c>
      <c r="B12" s="119">
        <v>1</v>
      </c>
      <c r="C12" s="81">
        <v>0</v>
      </c>
      <c r="D12" s="81">
        <v>2</v>
      </c>
      <c r="E12" s="81">
        <v>10</v>
      </c>
      <c r="F12" s="81">
        <v>15</v>
      </c>
      <c r="G12" s="81">
        <v>0</v>
      </c>
      <c r="H12" s="81">
        <v>4</v>
      </c>
      <c r="I12" s="81">
        <v>4</v>
      </c>
      <c r="J12" s="848">
        <f>SUM(Table_Default__XLS_TAB_36_280[[#This Row],[ILLITERATE_CNT]:[NOT_STATED_CNT]])</f>
        <v>36</v>
      </c>
      <c r="K12" s="255">
        <f t="shared" si="0"/>
        <v>5.0139275766016711</v>
      </c>
      <c r="L12" s="746" t="s">
        <v>198</v>
      </c>
    </row>
    <row r="13" spans="1:12" ht="24" customHeight="1" thickBot="1">
      <c r="A13" s="836" t="s">
        <v>197</v>
      </c>
      <c r="B13" s="119">
        <v>0</v>
      </c>
      <c r="C13" s="81">
        <v>1</v>
      </c>
      <c r="D13" s="81">
        <v>3</v>
      </c>
      <c r="E13" s="81">
        <v>11</v>
      </c>
      <c r="F13" s="81">
        <v>121</v>
      </c>
      <c r="G13" s="81">
        <v>2</v>
      </c>
      <c r="H13" s="81">
        <v>29</v>
      </c>
      <c r="I13" s="81">
        <v>10</v>
      </c>
      <c r="J13" s="848">
        <f>SUM(Table_Default__XLS_TAB_36_280[[#This Row],[ILLITERATE_CNT]:[NOT_STATED_CNT]])</f>
        <v>177</v>
      </c>
      <c r="K13" s="256">
        <f t="shared" si="0"/>
        <v>24.65181058495822</v>
      </c>
      <c r="L13" s="62" t="s">
        <v>196</v>
      </c>
    </row>
    <row r="14" spans="1:12" ht="24" customHeight="1" thickBot="1">
      <c r="A14" s="835" t="s">
        <v>559</v>
      </c>
      <c r="B14" s="119">
        <v>0</v>
      </c>
      <c r="C14" s="81">
        <v>0</v>
      </c>
      <c r="D14" s="81">
        <v>1</v>
      </c>
      <c r="E14" s="81">
        <v>0</v>
      </c>
      <c r="F14" s="81">
        <v>11</v>
      </c>
      <c r="G14" s="81">
        <v>2</v>
      </c>
      <c r="H14" s="81">
        <v>15</v>
      </c>
      <c r="I14" s="81">
        <v>1</v>
      </c>
      <c r="J14" s="848">
        <f>SUM(Table_Default__XLS_TAB_36_280[[#This Row],[ILLITERATE_CNT]:[NOT_STATED_CNT]])</f>
        <v>30</v>
      </c>
      <c r="K14" s="255">
        <f t="shared" si="0"/>
        <v>4.1782729805013927</v>
      </c>
      <c r="L14" s="746" t="s">
        <v>560</v>
      </c>
    </row>
    <row r="15" spans="1:12" ht="24" customHeight="1" thickBot="1">
      <c r="A15" s="836" t="s">
        <v>195</v>
      </c>
      <c r="B15" s="119">
        <v>0</v>
      </c>
      <c r="C15" s="81">
        <v>1</v>
      </c>
      <c r="D15" s="81">
        <v>1</v>
      </c>
      <c r="E15" s="81">
        <v>2</v>
      </c>
      <c r="F15" s="81">
        <v>73</v>
      </c>
      <c r="G15" s="81">
        <v>10</v>
      </c>
      <c r="H15" s="81">
        <v>151</v>
      </c>
      <c r="I15" s="81">
        <v>25</v>
      </c>
      <c r="J15" s="848">
        <f>SUM(Table_Default__XLS_TAB_36_280[[#This Row],[ILLITERATE_CNT]:[NOT_STATED_CNT]])</f>
        <v>263</v>
      </c>
      <c r="K15" s="256">
        <f t="shared" si="0"/>
        <v>36.629526462395546</v>
      </c>
      <c r="L15" s="62" t="s">
        <v>194</v>
      </c>
    </row>
    <row r="16" spans="1:12" ht="24" customHeight="1">
      <c r="A16" s="846" t="s">
        <v>15</v>
      </c>
      <c r="B16" s="850">
        <v>0</v>
      </c>
      <c r="C16" s="291">
        <v>0</v>
      </c>
      <c r="D16" s="291">
        <v>0</v>
      </c>
      <c r="E16" s="291">
        <v>3</v>
      </c>
      <c r="F16" s="291">
        <v>22</v>
      </c>
      <c r="G16" s="291">
        <v>0</v>
      </c>
      <c r="H16" s="291">
        <v>28</v>
      </c>
      <c r="I16" s="291">
        <v>145</v>
      </c>
      <c r="J16" s="851">
        <f>SUM(Table_Default__XLS_TAB_36_280[[#This Row],[ILLITERATE_CNT]:[NOT_STATED_CNT]])</f>
        <v>198</v>
      </c>
      <c r="K16" s="257">
        <f t="shared" si="0"/>
        <v>27.576601671309195</v>
      </c>
      <c r="L16" s="750" t="s">
        <v>193</v>
      </c>
    </row>
    <row r="17" spans="1:12" ht="27" customHeight="1">
      <c r="A17" s="258" t="s">
        <v>192</v>
      </c>
      <c r="B17" s="852">
        <f>SUBTOTAL(109,Table_Default__XLS_TAB_36_280[[#All],[ILLITERATE_CNT]])</f>
        <v>1</v>
      </c>
      <c r="C17" s="852">
        <f>SUBTOTAL(109,Table_Default__XLS_TAB_36_280[[#All],[READ_AND_WRITE_CNT]])</f>
        <v>4</v>
      </c>
      <c r="D17" s="852">
        <f>SUBTOTAL(109,Table_Default__XLS_TAB_36_280[[#All],[PRIMARY_CNT]])</f>
        <v>8</v>
      </c>
      <c r="E17" s="852">
        <f>SUBTOTAL(109,Table_Default__XLS_TAB_36_280[[#All],[PREPARATORY_CNT]])</f>
        <v>27</v>
      </c>
      <c r="F17" s="852">
        <f>SUBTOTAL(109,Table_Default__XLS_TAB_36_280[[#All],[SECONDARY_CNT]])</f>
        <v>249</v>
      </c>
      <c r="G17" s="852">
        <f>SUBTOTAL(109,Table_Default__XLS_TAB_36_280[[#All],[PRE_UNIVERSITY_CNT]])</f>
        <v>14</v>
      </c>
      <c r="H17" s="852">
        <f>SUBTOTAL(109,Table_Default__XLS_TAB_36_280[[#All],[UNIV_ABOVE_CNT]])</f>
        <v>229</v>
      </c>
      <c r="I17" s="852">
        <f>SUBTOTAL(109,Table_Default__XLS_TAB_36_280[[#All],[NOT_STATED_CNT]])</f>
        <v>186</v>
      </c>
      <c r="J17" s="852">
        <f>SUBTOTAL(109,Table_Default__XLS_TAB_36_280[[#All],[TOTAL]])</f>
        <v>718</v>
      </c>
      <c r="K17" s="832">
        <f t="shared" ref="K17" si="1">SUM(K7:K16)</f>
        <v>100</v>
      </c>
      <c r="L17" s="259" t="s">
        <v>18</v>
      </c>
    </row>
    <row r="18" spans="1:12" ht="27" customHeight="1">
      <c r="A18" s="100" t="s">
        <v>191</v>
      </c>
      <c r="B18" s="494">
        <f>B17/$J$17%</f>
        <v>0.1392757660167131</v>
      </c>
      <c r="C18" s="494">
        <f t="shared" ref="C18:I18" si="2">C17/$J$17%</f>
        <v>0.55710306406685239</v>
      </c>
      <c r="D18" s="494">
        <f t="shared" si="2"/>
        <v>1.1142061281337048</v>
      </c>
      <c r="E18" s="494">
        <f t="shared" si="2"/>
        <v>3.7604456824512535</v>
      </c>
      <c r="F18" s="494">
        <f t="shared" si="2"/>
        <v>34.67966573816156</v>
      </c>
      <c r="G18" s="494">
        <f t="shared" si="2"/>
        <v>1.9498607242339834</v>
      </c>
      <c r="H18" s="494">
        <f t="shared" si="2"/>
        <v>31.894150417827298</v>
      </c>
      <c r="I18" s="494">
        <f t="shared" si="2"/>
        <v>25.905292479108635</v>
      </c>
      <c r="J18" s="494">
        <f>SUM(B18:I18)</f>
        <v>100.00000000000001</v>
      </c>
      <c r="K18" s="1184" t="s">
        <v>190</v>
      </c>
      <c r="L18" s="1185"/>
    </row>
  </sheetData>
  <mergeCells count="9">
    <mergeCell ref="K18:L1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L36"/>
  <sheetViews>
    <sheetView rightToLeft="1" view="pageBreakPreview" zoomScale="90" zoomScaleNormal="75" zoomScaleSheetLayoutView="90" workbookViewId="0">
      <selection activeCell="M18" sqref="M18"/>
    </sheetView>
  </sheetViews>
  <sheetFormatPr defaultColWidth="9.140625" defaultRowHeight="12.75"/>
  <cols>
    <col min="1" max="1" width="18.85546875" style="1" customWidth="1"/>
    <col min="2" max="4" width="10.42578125" style="1" customWidth="1"/>
    <col min="5" max="5" width="11" style="1" customWidth="1"/>
    <col min="6" max="10" width="10.42578125" style="1" customWidth="1"/>
    <col min="11" max="11" width="10.5703125" style="1" customWidth="1"/>
    <col min="12" max="12" width="23.5703125" style="1" customWidth="1"/>
    <col min="13" max="16384" width="9.140625" style="1"/>
  </cols>
  <sheetData>
    <row r="1" spans="1:12" s="2" customFormat="1" ht="24" customHeight="1">
      <c r="A1" s="1009" t="s">
        <v>363</v>
      </c>
      <c r="B1" s="1009"/>
      <c r="C1" s="1009"/>
      <c r="D1" s="1009"/>
      <c r="E1" s="1009"/>
      <c r="F1" s="1009"/>
      <c r="G1" s="1009"/>
      <c r="H1" s="1009"/>
      <c r="I1" s="1009"/>
      <c r="J1" s="1009"/>
      <c r="K1" s="1009"/>
      <c r="L1" s="1009"/>
    </row>
    <row r="2" spans="1:12" s="3" customFormat="1" ht="18">
      <c r="A2" s="1036" t="s">
        <v>362</v>
      </c>
      <c r="B2" s="1036"/>
      <c r="C2" s="1036"/>
      <c r="D2" s="1036"/>
      <c r="E2" s="1036"/>
      <c r="F2" s="1036"/>
      <c r="G2" s="1036"/>
      <c r="H2" s="1036"/>
      <c r="I2" s="1036"/>
      <c r="J2" s="1036"/>
      <c r="K2" s="1036"/>
      <c r="L2" s="1036"/>
    </row>
    <row r="3" spans="1:12" s="2" customFormat="1" ht="15.75">
      <c r="A3" s="1037">
        <v>2019</v>
      </c>
      <c r="B3" s="1037"/>
      <c r="C3" s="1037"/>
      <c r="D3" s="1037"/>
      <c r="E3" s="1037"/>
      <c r="F3" s="1037"/>
      <c r="G3" s="1037"/>
      <c r="H3" s="1037"/>
      <c r="I3" s="1037"/>
      <c r="J3" s="1037"/>
      <c r="K3" s="1037"/>
      <c r="L3" s="1037"/>
    </row>
    <row r="4" spans="1:12" s="2" customFormat="1" ht="15.75">
      <c r="A4" s="1037" t="s">
        <v>1</v>
      </c>
      <c r="B4" s="1037"/>
      <c r="C4" s="1037"/>
      <c r="D4" s="1037"/>
      <c r="E4" s="1037"/>
      <c r="F4" s="1037"/>
      <c r="G4" s="1037"/>
      <c r="H4" s="1037"/>
      <c r="I4" s="1037"/>
      <c r="J4" s="1037"/>
      <c r="K4" s="1037"/>
      <c r="L4" s="1037"/>
    </row>
    <row r="5" spans="1:12" s="2" customFormat="1" ht="15.75">
      <c r="A5" s="361"/>
      <c r="B5" s="361"/>
      <c r="C5" s="361"/>
      <c r="D5" s="361"/>
      <c r="E5" s="361"/>
      <c r="F5" s="361"/>
      <c r="G5" s="361"/>
      <c r="H5" s="361"/>
      <c r="I5" s="361"/>
      <c r="J5" s="361"/>
      <c r="K5" s="361"/>
      <c r="L5" s="361"/>
    </row>
    <row r="6" spans="1:12" ht="15.75">
      <c r="A6" s="373" t="s">
        <v>523</v>
      </c>
      <c r="B6" s="377"/>
      <c r="C6" s="377"/>
      <c r="D6" s="377"/>
      <c r="E6" s="377"/>
      <c r="F6" s="377"/>
      <c r="G6" s="377"/>
      <c r="H6" s="377"/>
      <c r="I6" s="377"/>
      <c r="J6" s="377"/>
      <c r="K6" s="377"/>
      <c r="L6" s="375" t="s">
        <v>524</v>
      </c>
    </row>
    <row r="7" spans="1:12" ht="30.75" customHeight="1" thickBot="1">
      <c r="A7" s="1099" t="s">
        <v>208</v>
      </c>
      <c r="B7" s="1113" t="s">
        <v>207</v>
      </c>
      <c r="C7" s="1113"/>
      <c r="D7" s="1113"/>
      <c r="E7" s="1113"/>
      <c r="F7" s="1113"/>
      <c r="G7" s="1113"/>
      <c r="H7" s="1113"/>
      <c r="I7" s="1113"/>
      <c r="J7" s="1113"/>
      <c r="K7" s="1114" t="s">
        <v>617</v>
      </c>
      <c r="L7" s="1106" t="s">
        <v>206</v>
      </c>
    </row>
    <row r="8" spans="1:12" ht="60.75" customHeight="1">
      <c r="A8" s="1100"/>
      <c r="B8" s="179" t="s">
        <v>625</v>
      </c>
      <c r="C8" s="179" t="s">
        <v>660</v>
      </c>
      <c r="D8" s="324" t="s">
        <v>744</v>
      </c>
      <c r="E8" s="179" t="s">
        <v>623</v>
      </c>
      <c r="F8" s="179" t="s">
        <v>622</v>
      </c>
      <c r="G8" s="179" t="s">
        <v>621</v>
      </c>
      <c r="H8" s="179" t="s">
        <v>620</v>
      </c>
      <c r="I8" s="179" t="s">
        <v>626</v>
      </c>
      <c r="J8" s="325" t="s">
        <v>619</v>
      </c>
      <c r="K8" s="1128"/>
      <c r="L8" s="1107"/>
    </row>
    <row r="9" spans="1:12" ht="24" customHeight="1" thickBot="1">
      <c r="A9" s="834" t="s">
        <v>205</v>
      </c>
      <c r="B9" s="847">
        <v>0</v>
      </c>
      <c r="C9" s="784">
        <v>0</v>
      </c>
      <c r="D9" s="784">
        <v>1</v>
      </c>
      <c r="E9" s="784">
        <v>0</v>
      </c>
      <c r="F9" s="784">
        <v>4</v>
      </c>
      <c r="G9" s="784">
        <v>0</v>
      </c>
      <c r="H9" s="784">
        <v>0</v>
      </c>
      <c r="I9" s="784">
        <v>3</v>
      </c>
      <c r="J9" s="848">
        <f>SUM(Table_Default__XLS_TAB_36_383[[#This Row],[ILLITERATE_CNT]:[NOT_STATED_CNT]])</f>
        <v>8</v>
      </c>
      <c r="K9" s="849">
        <f>J9/$J$17%</f>
        <v>0.43644298963447903</v>
      </c>
      <c r="L9" s="181" t="s">
        <v>204</v>
      </c>
    </row>
    <row r="10" spans="1:12" ht="24" customHeight="1" thickBot="1">
      <c r="A10" s="835" t="s">
        <v>203</v>
      </c>
      <c r="B10" s="119">
        <v>0</v>
      </c>
      <c r="C10" s="81">
        <v>2</v>
      </c>
      <c r="D10" s="81">
        <v>0</v>
      </c>
      <c r="E10" s="81">
        <v>2</v>
      </c>
      <c r="F10" s="81">
        <v>3</v>
      </c>
      <c r="G10" s="81">
        <v>0</v>
      </c>
      <c r="H10" s="81">
        <v>0</v>
      </c>
      <c r="I10" s="81">
        <v>1</v>
      </c>
      <c r="J10" s="848">
        <f>SUM(Table_Default__XLS_TAB_36_383[[#This Row],[ILLITERATE_CNT]:[NOT_STATED_CNT]])</f>
        <v>8</v>
      </c>
      <c r="K10" s="255">
        <f t="shared" ref="K10:K15" si="0">J10/$J$17%</f>
        <v>0.43644298963447903</v>
      </c>
      <c r="L10" s="746" t="s">
        <v>202</v>
      </c>
    </row>
    <row r="11" spans="1:12" ht="24" customHeight="1" thickBot="1">
      <c r="A11" s="836" t="s">
        <v>742</v>
      </c>
      <c r="B11" s="119">
        <v>1</v>
      </c>
      <c r="C11" s="81">
        <v>4</v>
      </c>
      <c r="D11" s="81">
        <v>10</v>
      </c>
      <c r="E11" s="81">
        <v>20</v>
      </c>
      <c r="F11" s="81">
        <v>46</v>
      </c>
      <c r="G11" s="81">
        <v>1</v>
      </c>
      <c r="H11" s="81">
        <v>10</v>
      </c>
      <c r="I11" s="81">
        <v>6</v>
      </c>
      <c r="J11" s="848">
        <f>SUM(Table_Default__XLS_TAB_36_383[[#This Row],[ILLITERATE_CNT]:[NOT_STATED_CNT]])</f>
        <v>98</v>
      </c>
      <c r="K11" s="256">
        <f t="shared" si="0"/>
        <v>5.346426623022368</v>
      </c>
      <c r="L11" s="62" t="s">
        <v>200</v>
      </c>
    </row>
    <row r="12" spans="1:12" ht="24" customHeight="1" thickBot="1">
      <c r="A12" s="835" t="s">
        <v>199</v>
      </c>
      <c r="B12" s="119">
        <v>1</v>
      </c>
      <c r="C12" s="81">
        <v>3</v>
      </c>
      <c r="D12" s="81">
        <v>18</v>
      </c>
      <c r="E12" s="81">
        <v>30</v>
      </c>
      <c r="F12" s="81">
        <v>87</v>
      </c>
      <c r="G12" s="81">
        <v>2</v>
      </c>
      <c r="H12" s="81">
        <v>31</v>
      </c>
      <c r="I12" s="81">
        <v>11</v>
      </c>
      <c r="J12" s="848">
        <f>SUM(Table_Default__XLS_TAB_36_383[[#This Row],[ILLITERATE_CNT]:[NOT_STATED_CNT]])</f>
        <v>183</v>
      </c>
      <c r="K12" s="255">
        <f t="shared" si="0"/>
        <v>9.9836333878887071</v>
      </c>
      <c r="L12" s="746" t="s">
        <v>198</v>
      </c>
    </row>
    <row r="13" spans="1:12" ht="24" customHeight="1" thickBot="1">
      <c r="A13" s="836" t="s">
        <v>197</v>
      </c>
      <c r="B13" s="119">
        <v>1</v>
      </c>
      <c r="C13" s="81">
        <v>1</v>
      </c>
      <c r="D13" s="81">
        <v>11</v>
      </c>
      <c r="E13" s="81">
        <v>58</v>
      </c>
      <c r="F13" s="81">
        <v>415</v>
      </c>
      <c r="G13" s="81">
        <v>8</v>
      </c>
      <c r="H13" s="81">
        <v>101</v>
      </c>
      <c r="I13" s="81">
        <v>30</v>
      </c>
      <c r="J13" s="848">
        <f>SUM(Table_Default__XLS_TAB_36_383[[#This Row],[ILLITERATE_CNT]:[NOT_STATED_CNT]])</f>
        <v>625</v>
      </c>
      <c r="K13" s="256">
        <f t="shared" si="0"/>
        <v>34.097108565193672</v>
      </c>
      <c r="L13" s="62" t="s">
        <v>196</v>
      </c>
    </row>
    <row r="14" spans="1:12" ht="24" customHeight="1" thickBot="1">
      <c r="A14" s="835" t="s">
        <v>559</v>
      </c>
      <c r="B14" s="119">
        <v>0</v>
      </c>
      <c r="C14" s="81">
        <v>0</v>
      </c>
      <c r="D14" s="81">
        <v>1</v>
      </c>
      <c r="E14" s="81">
        <v>2</v>
      </c>
      <c r="F14" s="81">
        <v>25</v>
      </c>
      <c r="G14" s="81">
        <v>3</v>
      </c>
      <c r="H14" s="81">
        <v>26</v>
      </c>
      <c r="I14" s="81">
        <v>2</v>
      </c>
      <c r="J14" s="848">
        <f>SUM(Table_Default__XLS_TAB_36_383[[#This Row],[ILLITERATE_CNT]:[NOT_STATED_CNT]])</f>
        <v>59</v>
      </c>
      <c r="K14" s="255">
        <f t="shared" si="0"/>
        <v>3.218767048554283</v>
      </c>
      <c r="L14" s="746" t="s">
        <v>560</v>
      </c>
    </row>
    <row r="15" spans="1:12" ht="24" customHeight="1" thickBot="1">
      <c r="A15" s="836" t="s">
        <v>195</v>
      </c>
      <c r="B15" s="119">
        <v>0</v>
      </c>
      <c r="C15" s="81">
        <v>1</v>
      </c>
      <c r="D15" s="81">
        <v>3</v>
      </c>
      <c r="E15" s="81">
        <v>11</v>
      </c>
      <c r="F15" s="81">
        <v>223</v>
      </c>
      <c r="G15" s="81">
        <v>20</v>
      </c>
      <c r="H15" s="81">
        <v>272</v>
      </c>
      <c r="I15" s="81">
        <v>47</v>
      </c>
      <c r="J15" s="848">
        <f>SUM(Table_Default__XLS_TAB_36_383[[#This Row],[ILLITERATE_CNT]:[NOT_STATED_CNT]])</f>
        <v>577</v>
      </c>
      <c r="K15" s="256">
        <f t="shared" si="0"/>
        <v>31.478450627386799</v>
      </c>
      <c r="L15" s="62" t="s">
        <v>194</v>
      </c>
    </row>
    <row r="16" spans="1:12" ht="24" customHeight="1">
      <c r="A16" s="846" t="s">
        <v>15</v>
      </c>
      <c r="B16" s="850">
        <v>0</v>
      </c>
      <c r="C16" s="291">
        <v>0</v>
      </c>
      <c r="D16" s="291">
        <v>2</v>
      </c>
      <c r="E16" s="291">
        <v>3</v>
      </c>
      <c r="F16" s="291">
        <v>29</v>
      </c>
      <c r="G16" s="291">
        <v>0</v>
      </c>
      <c r="H16" s="291">
        <v>28</v>
      </c>
      <c r="I16" s="291">
        <v>213</v>
      </c>
      <c r="J16" s="851">
        <f>SUM(Table_Default__XLS_TAB_36_383[[#This Row],[ILLITERATE_CNT]:[NOT_STATED_CNT]])</f>
        <v>275</v>
      </c>
      <c r="K16" s="257">
        <f>J16/$J$17%</f>
        <v>15.002727768685217</v>
      </c>
      <c r="L16" s="750" t="s">
        <v>193</v>
      </c>
    </row>
    <row r="17" spans="1:12" ht="27" customHeight="1">
      <c r="A17" s="260" t="s">
        <v>192</v>
      </c>
      <c r="B17" s="253">
        <f>SUBTOTAL(109,Table_Default__XLS_TAB_36_383[[#All],[ILLITERATE_CNT]])</f>
        <v>3</v>
      </c>
      <c r="C17" s="253">
        <f>SUBTOTAL(109,Table_Default__XLS_TAB_36_383[[#All],[READ_AND_WRITE_CNT]])</f>
        <v>11</v>
      </c>
      <c r="D17" s="253">
        <f>SUBTOTAL(109,Table_Default__XLS_TAB_36_383[[#All],[PRIMARY_CNT]])</f>
        <v>46</v>
      </c>
      <c r="E17" s="253">
        <f>SUBTOTAL(109,Table_Default__XLS_TAB_36_383[[#All],[PREPARATORY_CNT]])</f>
        <v>126</v>
      </c>
      <c r="F17" s="253">
        <f>SUBTOTAL(109,Table_Default__XLS_TAB_36_383[[#All],[SECONDARY_CNT]])</f>
        <v>832</v>
      </c>
      <c r="G17" s="253">
        <f>SUBTOTAL(109,Table_Default__XLS_TAB_36_383[[#All],[PRE_UNIVERSITY_CNT]])</f>
        <v>34</v>
      </c>
      <c r="H17" s="253">
        <f>SUBTOTAL(109,Table_Default__XLS_TAB_36_383[[#All],[UNIV_ABOVE_CNT]])</f>
        <v>468</v>
      </c>
      <c r="I17" s="253">
        <f>SUBTOTAL(109,Table_Default__XLS_TAB_36_383[[#All],[NOT_STATED_CNT]])</f>
        <v>313</v>
      </c>
      <c r="J17" s="852">
        <f>SUBTOTAL(109,Table_Default__XLS_TAB_36_383[[#All],[TOTAL]])</f>
        <v>1833</v>
      </c>
      <c r="K17" s="261">
        <f t="shared" ref="K17" si="1">SUM(K7:K16)</f>
        <v>100</v>
      </c>
      <c r="L17" s="129" t="s">
        <v>18</v>
      </c>
    </row>
    <row r="18" spans="1:12" ht="27" customHeight="1">
      <c r="A18" s="100" t="s">
        <v>191</v>
      </c>
      <c r="B18" s="494">
        <f>B17/$J$17%</f>
        <v>0.16366612111292964</v>
      </c>
      <c r="C18" s="494">
        <f t="shared" ref="C18:I18" si="2">C17/$J$17%</f>
        <v>0.60010911074740869</v>
      </c>
      <c r="D18" s="494">
        <f t="shared" si="2"/>
        <v>2.5095471903982545</v>
      </c>
      <c r="E18" s="494">
        <f t="shared" si="2"/>
        <v>6.8739770867430448</v>
      </c>
      <c r="F18" s="494">
        <f t="shared" si="2"/>
        <v>45.390070921985817</v>
      </c>
      <c r="G18" s="494">
        <f t="shared" si="2"/>
        <v>1.8548827059465358</v>
      </c>
      <c r="H18" s="494">
        <f t="shared" si="2"/>
        <v>25.531914893617024</v>
      </c>
      <c r="I18" s="494">
        <f t="shared" si="2"/>
        <v>17.075831969448991</v>
      </c>
      <c r="J18" s="494">
        <f>SUM(B18:I18)</f>
        <v>100</v>
      </c>
      <c r="K18" s="1184" t="s">
        <v>190</v>
      </c>
      <c r="L18" s="1185"/>
    </row>
    <row r="27" spans="1:12">
      <c r="A27" s="1" t="s">
        <v>208</v>
      </c>
      <c r="B27" s="1" t="s">
        <v>223</v>
      </c>
      <c r="C27" s="1" t="s">
        <v>222</v>
      </c>
    </row>
    <row r="28" spans="1:12">
      <c r="A28" s="1" t="s">
        <v>221</v>
      </c>
      <c r="B28" s="1">
        <f>J9</f>
        <v>8</v>
      </c>
      <c r="C28" s="102">
        <f>B17</f>
        <v>3</v>
      </c>
    </row>
    <row r="29" spans="1:12">
      <c r="A29" s="1" t="s">
        <v>220</v>
      </c>
      <c r="B29" s="1">
        <f t="shared" ref="B29:B34" si="3">J10</f>
        <v>8</v>
      </c>
      <c r="C29" s="1">
        <f>C17</f>
        <v>11</v>
      </c>
    </row>
    <row r="30" spans="1:12">
      <c r="A30" s="1" t="s">
        <v>219</v>
      </c>
      <c r="B30" s="1">
        <f t="shared" si="3"/>
        <v>98</v>
      </c>
      <c r="C30" s="1">
        <f>D17</f>
        <v>46</v>
      </c>
    </row>
    <row r="31" spans="1:12">
      <c r="A31" s="1" t="s">
        <v>218</v>
      </c>
      <c r="B31" s="1">
        <f t="shared" si="3"/>
        <v>183</v>
      </c>
      <c r="C31" s="1">
        <f>E17</f>
        <v>126</v>
      </c>
    </row>
    <row r="32" spans="1:12">
      <c r="A32" s="1" t="s">
        <v>217</v>
      </c>
      <c r="B32" s="1">
        <f t="shared" si="3"/>
        <v>625</v>
      </c>
      <c r="C32" s="1">
        <f>F17</f>
        <v>832</v>
      </c>
    </row>
    <row r="33" spans="1:3" ht="25.5">
      <c r="A33" s="13" t="s">
        <v>556</v>
      </c>
      <c r="B33" s="1">
        <f t="shared" si="3"/>
        <v>59</v>
      </c>
      <c r="C33" s="1">
        <f>G17</f>
        <v>34</v>
      </c>
    </row>
    <row r="34" spans="1:3">
      <c r="A34" s="1" t="s">
        <v>216</v>
      </c>
      <c r="B34" s="1">
        <f t="shared" si="3"/>
        <v>577</v>
      </c>
      <c r="C34" s="1">
        <f>H17</f>
        <v>468</v>
      </c>
    </row>
    <row r="35" spans="1:3">
      <c r="A35" s="1" t="s">
        <v>215</v>
      </c>
      <c r="B35" s="1">
        <f>J16</f>
        <v>275</v>
      </c>
      <c r="C35" s="1">
        <f>I17</f>
        <v>313</v>
      </c>
    </row>
    <row r="36" spans="1:3">
      <c r="B36" s="1">
        <f>SUM(B28:B35)</f>
        <v>1833</v>
      </c>
      <c r="C36" s="1">
        <f>SUM(C28:C35)</f>
        <v>1833</v>
      </c>
    </row>
  </sheetData>
  <mergeCells count="9">
    <mergeCell ref="K18:L1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35:N35"/>
  <sheetViews>
    <sheetView rightToLeft="1" view="pageBreakPreview" zoomScaleNormal="100" zoomScaleSheetLayoutView="100" workbookViewId="0">
      <selection activeCell="M18" sqref="M18"/>
    </sheetView>
  </sheetViews>
  <sheetFormatPr defaultColWidth="9.140625" defaultRowHeight="12.75"/>
  <cols>
    <col min="1" max="16384" width="9.140625" style="1"/>
  </cols>
  <sheetData>
    <row r="35" spans="1:14" ht="15.75">
      <c r="A35" s="1038" t="s">
        <v>364</v>
      </c>
      <c r="B35" s="1038"/>
      <c r="C35" s="1038"/>
      <c r="D35" s="1038"/>
      <c r="E35" s="1038"/>
      <c r="F35" s="1038"/>
      <c r="G35" s="1038"/>
      <c r="H35" s="1038"/>
      <c r="I35" s="1038"/>
      <c r="J35" s="1038"/>
      <c r="K35" s="1038"/>
      <c r="L35" s="1038"/>
      <c r="M35" s="1038"/>
      <c r="N35" s="1038"/>
    </row>
  </sheetData>
  <mergeCells count="1">
    <mergeCell ref="A35:N35"/>
  </mergeCells>
  <printOptions horizontalCentered="1" verticalCentered="1"/>
  <pageMargins left="0" right="0" top="0" bottom="0" header="0" footer="0"/>
  <pageSetup paperSize="9"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L21"/>
  <sheetViews>
    <sheetView rightToLeft="1" view="pageBreakPreview" topLeftCell="A4" zoomScaleNormal="75" zoomScaleSheetLayoutView="100" workbookViewId="0">
      <selection activeCell="M18" sqref="M18"/>
    </sheetView>
  </sheetViews>
  <sheetFormatPr defaultColWidth="9.140625" defaultRowHeight="12.75"/>
  <cols>
    <col min="1" max="1" width="18.85546875" style="1" customWidth="1"/>
    <col min="2" max="4" width="10" style="1" customWidth="1"/>
    <col min="5" max="5" width="10.85546875" style="1" customWidth="1"/>
    <col min="6" max="9" width="10" style="1" customWidth="1"/>
    <col min="10" max="10" width="9.140625" style="1" customWidth="1"/>
    <col min="11" max="11" width="10.5703125" style="1" customWidth="1"/>
    <col min="12" max="12" width="23.5703125" style="1" customWidth="1"/>
    <col min="13" max="16384" width="9.140625" style="1"/>
  </cols>
  <sheetData>
    <row r="1" spans="1:12" s="2" customFormat="1" ht="24" customHeight="1">
      <c r="A1" s="1009" t="s">
        <v>367</v>
      </c>
      <c r="B1" s="1009"/>
      <c r="C1" s="1009"/>
      <c r="D1" s="1009"/>
      <c r="E1" s="1009"/>
      <c r="F1" s="1009"/>
      <c r="G1" s="1009"/>
      <c r="H1" s="1009"/>
      <c r="I1" s="1009"/>
      <c r="J1" s="1009"/>
      <c r="K1" s="1009"/>
      <c r="L1" s="1009"/>
    </row>
    <row r="2" spans="1:12" s="3" customFormat="1" ht="18">
      <c r="A2" s="1036" t="s">
        <v>366</v>
      </c>
      <c r="B2" s="1036"/>
      <c r="C2" s="1036"/>
      <c r="D2" s="1036"/>
      <c r="E2" s="1036"/>
      <c r="F2" s="1036"/>
      <c r="G2" s="1036"/>
      <c r="H2" s="1036"/>
      <c r="I2" s="1036"/>
      <c r="J2" s="1036"/>
      <c r="K2" s="1036"/>
      <c r="L2" s="1036"/>
    </row>
    <row r="3" spans="1:12" s="2" customFormat="1" ht="15.75">
      <c r="A3" s="1037">
        <v>2019</v>
      </c>
      <c r="B3" s="1037"/>
      <c r="C3" s="1037"/>
      <c r="D3" s="1037"/>
      <c r="E3" s="1037"/>
      <c r="F3" s="1037"/>
      <c r="G3" s="1037"/>
      <c r="H3" s="1037"/>
      <c r="I3" s="1037"/>
      <c r="J3" s="1037"/>
      <c r="K3" s="1037"/>
      <c r="L3" s="1037"/>
    </row>
    <row r="4" spans="1:12" s="2" customFormat="1" ht="15.75">
      <c r="A4" s="1037" t="s">
        <v>172</v>
      </c>
      <c r="B4" s="1037"/>
      <c r="C4" s="1037"/>
      <c r="D4" s="1037"/>
      <c r="E4" s="1037"/>
      <c r="F4" s="1037"/>
      <c r="G4" s="1037"/>
      <c r="H4" s="1037"/>
      <c r="I4" s="1037"/>
      <c r="J4" s="1037"/>
      <c r="K4" s="1037"/>
      <c r="L4" s="1037"/>
    </row>
    <row r="5" spans="1:12" s="2" customFormat="1" ht="15.75">
      <c r="A5" s="361"/>
      <c r="B5" s="361"/>
      <c r="C5" s="361"/>
      <c r="D5" s="361"/>
      <c r="E5" s="361"/>
      <c r="F5" s="361"/>
      <c r="G5" s="361"/>
      <c r="H5" s="361"/>
      <c r="I5" s="361"/>
      <c r="J5" s="361"/>
      <c r="K5" s="361"/>
      <c r="L5" s="361"/>
    </row>
    <row r="6" spans="1:12" ht="15.75">
      <c r="A6" s="373" t="s">
        <v>385</v>
      </c>
      <c r="B6" s="377"/>
      <c r="C6" s="377"/>
      <c r="D6" s="377"/>
      <c r="E6" s="377"/>
      <c r="F6" s="377"/>
      <c r="G6" s="377"/>
      <c r="H6" s="377"/>
      <c r="I6" s="377"/>
      <c r="J6" s="377"/>
      <c r="K6" s="377"/>
      <c r="L6" s="375" t="s">
        <v>384</v>
      </c>
    </row>
    <row r="7" spans="1:12" ht="30.75" customHeight="1" thickBot="1">
      <c r="A7" s="1099" t="s">
        <v>315</v>
      </c>
      <c r="B7" s="1113" t="s">
        <v>207</v>
      </c>
      <c r="C7" s="1113"/>
      <c r="D7" s="1113"/>
      <c r="E7" s="1113"/>
      <c r="F7" s="1113"/>
      <c r="G7" s="1113"/>
      <c r="H7" s="1113"/>
      <c r="I7" s="1113"/>
      <c r="J7" s="1113"/>
      <c r="K7" s="1114" t="s">
        <v>617</v>
      </c>
      <c r="L7" s="1106" t="s">
        <v>365</v>
      </c>
    </row>
    <row r="8" spans="1:12" ht="60.75" customHeight="1">
      <c r="A8" s="1108"/>
      <c r="B8" s="179" t="s">
        <v>625</v>
      </c>
      <c r="C8" s="179" t="s">
        <v>660</v>
      </c>
      <c r="D8" s="179" t="s">
        <v>743</v>
      </c>
      <c r="E8" s="179" t="s">
        <v>623</v>
      </c>
      <c r="F8" s="179" t="s">
        <v>622</v>
      </c>
      <c r="G8" s="179" t="s">
        <v>621</v>
      </c>
      <c r="H8" s="179" t="s">
        <v>620</v>
      </c>
      <c r="I8" s="179" t="s">
        <v>626</v>
      </c>
      <c r="J8" s="325" t="s">
        <v>619</v>
      </c>
      <c r="K8" s="1115"/>
      <c r="L8" s="1109"/>
    </row>
    <row r="9" spans="1:12" ht="16.5" thickBot="1">
      <c r="A9" s="777">
        <v>-20</v>
      </c>
      <c r="B9" s="119">
        <v>0</v>
      </c>
      <c r="C9" s="81">
        <v>0</v>
      </c>
      <c r="D9" s="81">
        <v>0</v>
      </c>
      <c r="E9" s="81">
        <v>3</v>
      </c>
      <c r="F9" s="81">
        <v>1</v>
      </c>
      <c r="G9" s="81">
        <v>0</v>
      </c>
      <c r="H9" s="81">
        <v>0</v>
      </c>
      <c r="I9" s="81">
        <v>0</v>
      </c>
      <c r="J9" s="120">
        <f>SUM(Table_Default__XLS_TAB_37_189[[#This Row],[ILLITERATE_CNT]:[NOT_STATED_CNT]])</f>
        <v>4</v>
      </c>
      <c r="K9" s="8">
        <f t="shared" ref="K9:K19" si="0">J9/$J$20%</f>
        <v>0.40322580645161293</v>
      </c>
      <c r="L9" s="103">
        <v>-20</v>
      </c>
    </row>
    <row r="10" spans="1:12" ht="16.5" thickBot="1">
      <c r="A10" s="745" t="s">
        <v>1262</v>
      </c>
      <c r="B10" s="119">
        <v>0</v>
      </c>
      <c r="C10" s="81">
        <v>0</v>
      </c>
      <c r="D10" s="81">
        <v>5</v>
      </c>
      <c r="E10" s="81">
        <v>27</v>
      </c>
      <c r="F10" s="81">
        <v>73</v>
      </c>
      <c r="G10" s="81">
        <v>0</v>
      </c>
      <c r="H10" s="81">
        <v>4</v>
      </c>
      <c r="I10" s="81">
        <v>0</v>
      </c>
      <c r="J10" s="120">
        <f>SUM(Table_Default__XLS_TAB_37_189[[#This Row],[ILLITERATE_CNT]:[NOT_STATED_CNT]])</f>
        <v>109</v>
      </c>
      <c r="K10" s="9">
        <f t="shared" si="0"/>
        <v>10.987903225806452</v>
      </c>
      <c r="L10" s="780" t="s">
        <v>128</v>
      </c>
    </row>
    <row r="11" spans="1:12" ht="16.5" thickBot="1">
      <c r="A11" s="777" t="s">
        <v>1263</v>
      </c>
      <c r="B11" s="119">
        <v>0</v>
      </c>
      <c r="C11" s="81">
        <v>0</v>
      </c>
      <c r="D11" s="81">
        <v>3</v>
      </c>
      <c r="E11" s="81">
        <v>17</v>
      </c>
      <c r="F11" s="81">
        <v>171</v>
      </c>
      <c r="G11" s="81">
        <v>3</v>
      </c>
      <c r="H11" s="81">
        <v>40</v>
      </c>
      <c r="I11" s="81">
        <v>1</v>
      </c>
      <c r="J11" s="120">
        <f>SUM(Table_Default__XLS_TAB_37_189[[#This Row],[ILLITERATE_CNT]:[NOT_STATED_CNT]])</f>
        <v>235</v>
      </c>
      <c r="K11" s="8">
        <f t="shared" si="0"/>
        <v>23.68951612903226</v>
      </c>
      <c r="L11" s="103" t="s">
        <v>127</v>
      </c>
    </row>
    <row r="12" spans="1:12" ht="16.5" thickBot="1">
      <c r="A12" s="745" t="s">
        <v>1264</v>
      </c>
      <c r="B12" s="119">
        <v>0</v>
      </c>
      <c r="C12" s="81">
        <v>0</v>
      </c>
      <c r="D12" s="81">
        <v>8</v>
      </c>
      <c r="E12" s="81">
        <v>20</v>
      </c>
      <c r="F12" s="81">
        <v>128</v>
      </c>
      <c r="G12" s="81">
        <v>4</v>
      </c>
      <c r="H12" s="81">
        <v>42</v>
      </c>
      <c r="I12" s="81">
        <v>4</v>
      </c>
      <c r="J12" s="120">
        <f>SUM(Table_Default__XLS_TAB_37_189[[#This Row],[ILLITERATE_CNT]:[NOT_STATED_CNT]])</f>
        <v>206</v>
      </c>
      <c r="K12" s="9">
        <f t="shared" si="0"/>
        <v>20.766129032258064</v>
      </c>
      <c r="L12" s="780" t="s">
        <v>126</v>
      </c>
    </row>
    <row r="13" spans="1:12" ht="16.5" thickBot="1">
      <c r="A13" s="777" t="s">
        <v>1265</v>
      </c>
      <c r="B13" s="119">
        <v>1</v>
      </c>
      <c r="C13" s="81">
        <v>0</v>
      </c>
      <c r="D13" s="81">
        <v>7</v>
      </c>
      <c r="E13" s="81">
        <v>4</v>
      </c>
      <c r="F13" s="81">
        <v>66</v>
      </c>
      <c r="G13" s="81">
        <v>3</v>
      </c>
      <c r="H13" s="81">
        <v>49</v>
      </c>
      <c r="I13" s="81">
        <v>5</v>
      </c>
      <c r="J13" s="120">
        <f>SUM(Table_Default__XLS_TAB_37_189[[#This Row],[ILLITERATE_CNT]:[NOT_STATED_CNT]])</f>
        <v>135</v>
      </c>
      <c r="K13" s="8">
        <f t="shared" si="0"/>
        <v>13.608870967741936</v>
      </c>
      <c r="L13" s="103" t="s">
        <v>125</v>
      </c>
    </row>
    <row r="14" spans="1:12" ht="16.5" thickBot="1">
      <c r="A14" s="745" t="s">
        <v>1266</v>
      </c>
      <c r="B14" s="119">
        <v>0</v>
      </c>
      <c r="C14" s="81">
        <v>1</v>
      </c>
      <c r="D14" s="81">
        <v>2</v>
      </c>
      <c r="E14" s="81">
        <v>10</v>
      </c>
      <c r="F14" s="81">
        <v>39</v>
      </c>
      <c r="G14" s="81">
        <v>1</v>
      </c>
      <c r="H14" s="81">
        <v>41</v>
      </c>
      <c r="I14" s="81">
        <v>13</v>
      </c>
      <c r="J14" s="120">
        <f>SUM(Table_Default__XLS_TAB_37_189[[#This Row],[ILLITERATE_CNT]:[NOT_STATED_CNT]])</f>
        <v>107</v>
      </c>
      <c r="K14" s="9">
        <f t="shared" si="0"/>
        <v>10.786290322580646</v>
      </c>
      <c r="L14" s="780" t="s">
        <v>124</v>
      </c>
    </row>
    <row r="15" spans="1:12" ht="16.5" thickBot="1">
      <c r="A15" s="777" t="s">
        <v>1267</v>
      </c>
      <c r="B15" s="119">
        <v>0</v>
      </c>
      <c r="C15" s="81">
        <v>3</v>
      </c>
      <c r="D15" s="81">
        <v>1</v>
      </c>
      <c r="E15" s="81">
        <v>9</v>
      </c>
      <c r="F15" s="81">
        <v>18</v>
      </c>
      <c r="G15" s="81">
        <v>3</v>
      </c>
      <c r="H15" s="81">
        <v>34</v>
      </c>
      <c r="I15" s="81">
        <v>20</v>
      </c>
      <c r="J15" s="120">
        <f>SUM(Table_Default__XLS_TAB_37_189[[#This Row],[ILLITERATE_CNT]:[NOT_STATED_CNT]])</f>
        <v>88</v>
      </c>
      <c r="K15" s="8">
        <f t="shared" si="0"/>
        <v>8.870967741935484</v>
      </c>
      <c r="L15" s="103" t="s">
        <v>123</v>
      </c>
    </row>
    <row r="16" spans="1:12" ht="16.5" thickBot="1">
      <c r="A16" s="745" t="s">
        <v>1268</v>
      </c>
      <c r="B16" s="119">
        <v>0</v>
      </c>
      <c r="C16" s="81">
        <v>1</v>
      </c>
      <c r="D16" s="81">
        <v>2</v>
      </c>
      <c r="E16" s="81">
        <v>5</v>
      </c>
      <c r="F16" s="81">
        <v>11</v>
      </c>
      <c r="G16" s="81">
        <v>3</v>
      </c>
      <c r="H16" s="81">
        <v>19</v>
      </c>
      <c r="I16" s="81">
        <v>19</v>
      </c>
      <c r="J16" s="120">
        <f>SUM(Table_Default__XLS_TAB_37_189[[#This Row],[ILLITERATE_CNT]:[NOT_STATED_CNT]])</f>
        <v>60</v>
      </c>
      <c r="K16" s="9">
        <f t="shared" si="0"/>
        <v>6.0483870967741939</v>
      </c>
      <c r="L16" s="780" t="s">
        <v>122</v>
      </c>
    </row>
    <row r="17" spans="1:12" ht="16.5" thickBot="1">
      <c r="A17" s="777" t="s">
        <v>1269</v>
      </c>
      <c r="B17" s="119">
        <v>1</v>
      </c>
      <c r="C17" s="81">
        <v>1</v>
      </c>
      <c r="D17" s="81">
        <v>3</v>
      </c>
      <c r="E17" s="81">
        <v>2</v>
      </c>
      <c r="F17" s="81">
        <v>7</v>
      </c>
      <c r="G17" s="81">
        <v>0</v>
      </c>
      <c r="H17" s="81">
        <v>5</v>
      </c>
      <c r="I17" s="81">
        <v>13</v>
      </c>
      <c r="J17" s="120">
        <f>SUM(Table_Default__XLS_TAB_37_189[[#This Row],[ILLITERATE_CNT]:[NOT_STATED_CNT]])</f>
        <v>32</v>
      </c>
      <c r="K17" s="8">
        <f t="shared" si="0"/>
        <v>3.2258064516129035</v>
      </c>
      <c r="L17" s="103" t="s">
        <v>121</v>
      </c>
    </row>
    <row r="18" spans="1:12" ht="16.5" thickBot="1">
      <c r="A18" s="745" t="s">
        <v>133</v>
      </c>
      <c r="B18" s="119">
        <v>0</v>
      </c>
      <c r="C18" s="81">
        <v>1</v>
      </c>
      <c r="D18" s="81">
        <v>1</v>
      </c>
      <c r="E18" s="81">
        <v>1</v>
      </c>
      <c r="F18" s="81">
        <v>5</v>
      </c>
      <c r="G18" s="81">
        <v>0</v>
      </c>
      <c r="H18" s="81">
        <v>2</v>
      </c>
      <c r="I18" s="81">
        <v>6</v>
      </c>
      <c r="J18" s="120">
        <f>SUM(Table_Default__XLS_TAB_37_189[[#This Row],[ILLITERATE_CNT]:[NOT_STATED_CNT]])</f>
        <v>16</v>
      </c>
      <c r="K18" s="9">
        <f t="shared" si="0"/>
        <v>1.6129032258064517</v>
      </c>
      <c r="L18" s="780" t="s">
        <v>1270</v>
      </c>
    </row>
    <row r="19" spans="1:12" ht="16.5" thickBot="1">
      <c r="A19" s="854" t="s">
        <v>15</v>
      </c>
      <c r="B19" s="845">
        <v>0</v>
      </c>
      <c r="C19" s="282">
        <v>0</v>
      </c>
      <c r="D19" s="282">
        <v>0</v>
      </c>
      <c r="E19" s="282">
        <v>0</v>
      </c>
      <c r="F19" s="282">
        <v>0</v>
      </c>
      <c r="G19" s="282">
        <v>0</v>
      </c>
      <c r="H19" s="282">
        <v>0</v>
      </c>
      <c r="I19" s="282">
        <v>0</v>
      </c>
      <c r="J19" s="120">
        <f>SUM(Table_Default__XLS_TAB_37_189[[#This Row],[ILLITERATE_CNT]:[NOT_STATED_CNT]])</f>
        <v>0</v>
      </c>
      <c r="K19" s="85">
        <f t="shared" si="0"/>
        <v>0</v>
      </c>
      <c r="L19" s="855" t="s">
        <v>16</v>
      </c>
    </row>
    <row r="20" spans="1:12" ht="21" customHeight="1" thickBot="1">
      <c r="A20" s="584" t="s">
        <v>192</v>
      </c>
      <c r="B20" s="585">
        <f>SUM(B9:B19)</f>
        <v>2</v>
      </c>
      <c r="C20" s="585">
        <f t="shared" ref="C20:I20" si="1">SUM(C9:C19)</f>
        <v>7</v>
      </c>
      <c r="D20" s="585">
        <f t="shared" si="1"/>
        <v>32</v>
      </c>
      <c r="E20" s="585">
        <f t="shared" si="1"/>
        <v>98</v>
      </c>
      <c r="F20" s="585">
        <f t="shared" si="1"/>
        <v>519</v>
      </c>
      <c r="G20" s="585">
        <f>SUM(G9:G19)</f>
        <v>17</v>
      </c>
      <c r="H20" s="585">
        <f t="shared" si="1"/>
        <v>236</v>
      </c>
      <c r="I20" s="585">
        <f t="shared" si="1"/>
        <v>81</v>
      </c>
      <c r="J20" s="585">
        <f>SUM(J9:J19)</f>
        <v>992</v>
      </c>
      <c r="K20" s="853">
        <f>SUM(K9:K19)</f>
        <v>99.999999999999986</v>
      </c>
      <c r="L20" s="586" t="s">
        <v>18</v>
      </c>
    </row>
    <row r="21" spans="1:12" ht="21" customHeight="1">
      <c r="A21" s="587" t="s">
        <v>191</v>
      </c>
      <c r="B21" s="588">
        <f>B20/$J$20%</f>
        <v>0.20161290322580647</v>
      </c>
      <c r="C21" s="588">
        <f>C20/$J$20%</f>
        <v>0.70564516129032262</v>
      </c>
      <c r="D21" s="588">
        <f t="shared" ref="D21:I21" si="2">D20/$J$20%</f>
        <v>3.2258064516129035</v>
      </c>
      <c r="E21" s="588">
        <f t="shared" si="2"/>
        <v>9.879032258064516</v>
      </c>
      <c r="F21" s="588">
        <f t="shared" si="2"/>
        <v>52.318548387096776</v>
      </c>
      <c r="G21" s="588">
        <f t="shared" si="2"/>
        <v>1.7137096774193548</v>
      </c>
      <c r="H21" s="588">
        <f t="shared" si="2"/>
        <v>23.79032258064516</v>
      </c>
      <c r="I21" s="588">
        <f t="shared" si="2"/>
        <v>8.1653225806451619</v>
      </c>
      <c r="J21" s="588">
        <f>SUM(B21:I21)</f>
        <v>100.00000000000001</v>
      </c>
      <c r="K21" s="1186" t="s">
        <v>190</v>
      </c>
      <c r="L21" s="1187"/>
    </row>
  </sheetData>
  <mergeCells count="9">
    <mergeCell ref="K21:L21"/>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L21"/>
  <sheetViews>
    <sheetView rightToLeft="1" view="pageBreakPreview" topLeftCell="A4" zoomScaleNormal="75" zoomScaleSheetLayoutView="100" workbookViewId="0">
      <selection activeCell="M18" sqref="M18"/>
    </sheetView>
  </sheetViews>
  <sheetFormatPr defaultColWidth="9.140625" defaultRowHeight="12.75"/>
  <cols>
    <col min="1" max="1" width="18.85546875" style="1" customWidth="1"/>
    <col min="2" max="4" width="10" style="1" customWidth="1"/>
    <col min="5" max="5" width="11" style="1" customWidth="1"/>
    <col min="6" max="9" width="10" style="1" customWidth="1"/>
    <col min="10" max="10" width="9.140625" style="1" customWidth="1"/>
    <col min="11" max="11" width="10.5703125" style="1" customWidth="1"/>
    <col min="12" max="12" width="23.5703125" style="1" customWidth="1"/>
    <col min="13" max="16384" width="9.140625" style="1"/>
  </cols>
  <sheetData>
    <row r="1" spans="1:12" s="2" customFormat="1" ht="24" customHeight="1">
      <c r="A1" s="1009" t="s">
        <v>367</v>
      </c>
      <c r="B1" s="1009"/>
      <c r="C1" s="1009"/>
      <c r="D1" s="1009"/>
      <c r="E1" s="1009"/>
      <c r="F1" s="1009"/>
      <c r="G1" s="1009"/>
      <c r="H1" s="1009"/>
      <c r="I1" s="1009"/>
      <c r="J1" s="1009"/>
      <c r="K1" s="1009"/>
      <c r="L1" s="1009"/>
    </row>
    <row r="2" spans="1:12" s="3" customFormat="1" ht="18">
      <c r="A2" s="1036" t="s">
        <v>366</v>
      </c>
      <c r="B2" s="1036"/>
      <c r="C2" s="1036"/>
      <c r="D2" s="1036"/>
      <c r="E2" s="1036"/>
      <c r="F2" s="1036"/>
      <c r="G2" s="1036"/>
      <c r="H2" s="1036"/>
      <c r="I2" s="1036"/>
      <c r="J2" s="1036"/>
      <c r="K2" s="1036"/>
      <c r="L2" s="1036"/>
    </row>
    <row r="3" spans="1:12" s="2" customFormat="1" ht="15.75">
      <c r="A3" s="1037">
        <v>2019</v>
      </c>
      <c r="B3" s="1037"/>
      <c r="C3" s="1037"/>
      <c r="D3" s="1037"/>
      <c r="E3" s="1037"/>
      <c r="F3" s="1037"/>
      <c r="G3" s="1037"/>
      <c r="H3" s="1037"/>
      <c r="I3" s="1037"/>
      <c r="J3" s="1037"/>
      <c r="K3" s="1037"/>
      <c r="L3" s="1037"/>
    </row>
    <row r="4" spans="1:12" s="2" customFormat="1" ht="15.75">
      <c r="A4" s="1037" t="s">
        <v>177</v>
      </c>
      <c r="B4" s="1037"/>
      <c r="C4" s="1037"/>
      <c r="D4" s="1037"/>
      <c r="E4" s="1037"/>
      <c r="F4" s="1037"/>
      <c r="G4" s="1037"/>
      <c r="H4" s="1037"/>
      <c r="I4" s="1037"/>
      <c r="J4" s="1037"/>
      <c r="K4" s="1037"/>
      <c r="L4" s="1037"/>
    </row>
    <row r="5" spans="1:12" s="2" customFormat="1" ht="15.75">
      <c r="A5" s="361"/>
      <c r="B5" s="361"/>
      <c r="C5" s="361"/>
      <c r="D5" s="361"/>
      <c r="E5" s="361"/>
      <c r="F5" s="361"/>
      <c r="G5" s="361"/>
      <c r="H5" s="361"/>
      <c r="I5" s="361"/>
      <c r="J5" s="361"/>
      <c r="K5" s="361"/>
      <c r="L5" s="361"/>
    </row>
    <row r="6" spans="1:12" ht="15.75">
      <c r="A6" s="373" t="s">
        <v>388</v>
      </c>
      <c r="B6" s="377"/>
      <c r="C6" s="377"/>
      <c r="D6" s="377"/>
      <c r="E6" s="377"/>
      <c r="F6" s="377"/>
      <c r="G6" s="377"/>
      <c r="H6" s="377"/>
      <c r="I6" s="377"/>
      <c r="J6" s="377"/>
      <c r="K6" s="377"/>
      <c r="L6" s="375" t="s">
        <v>387</v>
      </c>
    </row>
    <row r="7" spans="1:12" ht="30.75" customHeight="1" thickBot="1">
      <c r="A7" s="1099" t="s">
        <v>315</v>
      </c>
      <c r="B7" s="1113" t="s">
        <v>207</v>
      </c>
      <c r="C7" s="1113"/>
      <c r="D7" s="1113"/>
      <c r="E7" s="1113"/>
      <c r="F7" s="1113"/>
      <c r="G7" s="1113"/>
      <c r="H7" s="1113"/>
      <c r="I7" s="1113"/>
      <c r="J7" s="1113"/>
      <c r="K7" s="1114" t="s">
        <v>617</v>
      </c>
      <c r="L7" s="1106" t="s">
        <v>365</v>
      </c>
    </row>
    <row r="8" spans="1:12" ht="60.75" customHeight="1">
      <c r="A8" s="1100"/>
      <c r="B8" s="179" t="s">
        <v>625</v>
      </c>
      <c r="C8" s="179" t="s">
        <v>660</v>
      </c>
      <c r="D8" s="324" t="s">
        <v>744</v>
      </c>
      <c r="E8" s="179" t="s">
        <v>623</v>
      </c>
      <c r="F8" s="179" t="s">
        <v>622</v>
      </c>
      <c r="G8" s="179" t="s">
        <v>621</v>
      </c>
      <c r="H8" s="179" t="s">
        <v>620</v>
      </c>
      <c r="I8" s="179" t="s">
        <v>626</v>
      </c>
      <c r="J8" s="325" t="s">
        <v>619</v>
      </c>
      <c r="K8" s="1128"/>
      <c r="L8" s="1107"/>
    </row>
    <row r="9" spans="1:12" ht="16.5" thickBot="1">
      <c r="A9" s="857">
        <v>-20</v>
      </c>
      <c r="B9" s="847">
        <v>0</v>
      </c>
      <c r="C9" s="784">
        <v>0</v>
      </c>
      <c r="D9" s="784">
        <v>3</v>
      </c>
      <c r="E9" s="784">
        <v>0</v>
      </c>
      <c r="F9" s="784">
        <v>2</v>
      </c>
      <c r="G9" s="784">
        <v>0</v>
      </c>
      <c r="H9" s="784">
        <v>0</v>
      </c>
      <c r="I9" s="784">
        <v>0</v>
      </c>
      <c r="J9" s="848">
        <f>SUM(Table_Default__XLS_TAB_37_290[[#This Row],[ILLITERATE_CNT]:[NOT_STATED_CNT]])</f>
        <v>5</v>
      </c>
      <c r="K9" s="790">
        <f t="shared" ref="K9:K19" si="0">J9/$J$20%</f>
        <v>0.59453032104637338</v>
      </c>
      <c r="L9" s="787">
        <v>-20</v>
      </c>
    </row>
    <row r="10" spans="1:12" ht="16.5" thickBot="1">
      <c r="A10" s="745" t="s">
        <v>1262</v>
      </c>
      <c r="B10" s="119">
        <v>0</v>
      </c>
      <c r="C10" s="81">
        <v>0</v>
      </c>
      <c r="D10" s="81">
        <v>2</v>
      </c>
      <c r="E10" s="81">
        <v>13</v>
      </c>
      <c r="F10" s="81">
        <v>35</v>
      </c>
      <c r="G10" s="81">
        <v>0</v>
      </c>
      <c r="H10" s="81">
        <v>4</v>
      </c>
      <c r="I10" s="81">
        <v>3</v>
      </c>
      <c r="J10" s="848">
        <f>SUM(Table_Default__XLS_TAB_37_290[[#This Row],[ILLITERATE_CNT]:[NOT_STATED_CNT]])</f>
        <v>57</v>
      </c>
      <c r="K10" s="263">
        <f t="shared" si="0"/>
        <v>6.7776456599286563</v>
      </c>
      <c r="L10" s="780" t="s">
        <v>128</v>
      </c>
    </row>
    <row r="11" spans="1:12" ht="16.5" thickBot="1">
      <c r="A11" s="777" t="s">
        <v>1263</v>
      </c>
      <c r="B11" s="119">
        <v>0</v>
      </c>
      <c r="C11" s="81">
        <v>0</v>
      </c>
      <c r="D11" s="81">
        <v>3</v>
      </c>
      <c r="E11" s="81">
        <v>2</v>
      </c>
      <c r="F11" s="81">
        <v>72</v>
      </c>
      <c r="G11" s="81">
        <v>2</v>
      </c>
      <c r="H11" s="81">
        <v>31</v>
      </c>
      <c r="I11" s="81">
        <v>19</v>
      </c>
      <c r="J11" s="848">
        <f>SUM(Table_Default__XLS_TAB_37_290[[#This Row],[ILLITERATE_CNT]:[NOT_STATED_CNT]])</f>
        <v>129</v>
      </c>
      <c r="K11" s="262">
        <f t="shared" si="0"/>
        <v>15.338882282996433</v>
      </c>
      <c r="L11" s="103" t="s">
        <v>127</v>
      </c>
    </row>
    <row r="12" spans="1:12" ht="16.5" thickBot="1">
      <c r="A12" s="745" t="s">
        <v>1264</v>
      </c>
      <c r="B12" s="119">
        <v>0</v>
      </c>
      <c r="C12" s="81">
        <v>1</v>
      </c>
      <c r="D12" s="81">
        <v>0</v>
      </c>
      <c r="E12" s="81">
        <v>5</v>
      </c>
      <c r="F12" s="81">
        <v>78</v>
      </c>
      <c r="G12" s="81">
        <v>7</v>
      </c>
      <c r="H12" s="81">
        <v>64</v>
      </c>
      <c r="I12" s="81">
        <v>35</v>
      </c>
      <c r="J12" s="848">
        <f>SUM(Table_Default__XLS_TAB_37_290[[#This Row],[ILLITERATE_CNT]:[NOT_STATED_CNT]])</f>
        <v>190</v>
      </c>
      <c r="K12" s="263">
        <f t="shared" si="0"/>
        <v>22.592152199762186</v>
      </c>
      <c r="L12" s="780" t="s">
        <v>126</v>
      </c>
    </row>
    <row r="13" spans="1:12" ht="16.5" thickBot="1">
      <c r="A13" s="777" t="s">
        <v>1265</v>
      </c>
      <c r="B13" s="119">
        <v>1</v>
      </c>
      <c r="C13" s="81">
        <v>0</v>
      </c>
      <c r="D13" s="81">
        <v>2</v>
      </c>
      <c r="E13" s="81">
        <v>3</v>
      </c>
      <c r="F13" s="81">
        <v>44</v>
      </c>
      <c r="G13" s="81">
        <v>5</v>
      </c>
      <c r="H13" s="81">
        <v>66</v>
      </c>
      <c r="I13" s="81">
        <v>44</v>
      </c>
      <c r="J13" s="848">
        <f>SUM(Table_Default__XLS_TAB_37_290[[#This Row],[ILLITERATE_CNT]:[NOT_STATED_CNT]])</f>
        <v>165</v>
      </c>
      <c r="K13" s="262">
        <f t="shared" si="0"/>
        <v>19.619500594530322</v>
      </c>
      <c r="L13" s="103" t="s">
        <v>125</v>
      </c>
    </row>
    <row r="14" spans="1:12" ht="16.5" thickBot="1">
      <c r="A14" s="745" t="s">
        <v>1266</v>
      </c>
      <c r="B14" s="119">
        <v>0</v>
      </c>
      <c r="C14" s="81">
        <v>0</v>
      </c>
      <c r="D14" s="81">
        <v>3</v>
      </c>
      <c r="E14" s="81">
        <v>1</v>
      </c>
      <c r="F14" s="81">
        <v>41</v>
      </c>
      <c r="G14" s="81">
        <v>0</v>
      </c>
      <c r="H14" s="81">
        <v>29</v>
      </c>
      <c r="I14" s="81">
        <v>31</v>
      </c>
      <c r="J14" s="848">
        <f>SUM(Table_Default__XLS_TAB_37_290[[#This Row],[ILLITERATE_CNT]:[NOT_STATED_CNT]])</f>
        <v>105</v>
      </c>
      <c r="K14" s="263">
        <f t="shared" si="0"/>
        <v>12.485136741973841</v>
      </c>
      <c r="L14" s="780" t="s">
        <v>124</v>
      </c>
    </row>
    <row r="15" spans="1:12" ht="16.5" thickBot="1">
      <c r="A15" s="777" t="s">
        <v>1267</v>
      </c>
      <c r="B15" s="119">
        <v>0</v>
      </c>
      <c r="C15" s="81">
        <v>1</v>
      </c>
      <c r="D15" s="81">
        <v>1</v>
      </c>
      <c r="E15" s="81">
        <v>2</v>
      </c>
      <c r="F15" s="81">
        <v>19</v>
      </c>
      <c r="G15" s="81">
        <v>3</v>
      </c>
      <c r="H15" s="81">
        <v>20</v>
      </c>
      <c r="I15" s="81">
        <v>31</v>
      </c>
      <c r="J15" s="848">
        <f>SUM(Table_Default__XLS_TAB_37_290[[#This Row],[ILLITERATE_CNT]:[NOT_STATED_CNT]])</f>
        <v>77</v>
      </c>
      <c r="K15" s="262">
        <f t="shared" si="0"/>
        <v>9.1557669441141503</v>
      </c>
      <c r="L15" s="103" t="s">
        <v>123</v>
      </c>
    </row>
    <row r="16" spans="1:12" ht="16.5" thickBot="1">
      <c r="A16" s="745" t="s">
        <v>1268</v>
      </c>
      <c r="B16" s="119">
        <v>0</v>
      </c>
      <c r="C16" s="81">
        <v>0</v>
      </c>
      <c r="D16" s="81">
        <v>0</v>
      </c>
      <c r="E16" s="81">
        <v>0</v>
      </c>
      <c r="F16" s="81">
        <v>7</v>
      </c>
      <c r="G16" s="81">
        <v>0</v>
      </c>
      <c r="H16" s="81">
        <v>14</v>
      </c>
      <c r="I16" s="81">
        <v>9</v>
      </c>
      <c r="J16" s="848">
        <f>SUM(Table_Default__XLS_TAB_37_290[[#This Row],[ILLITERATE_CNT]:[NOT_STATED_CNT]])</f>
        <v>30</v>
      </c>
      <c r="K16" s="263">
        <f t="shared" si="0"/>
        <v>3.56718192627824</v>
      </c>
      <c r="L16" s="780" t="s">
        <v>122</v>
      </c>
    </row>
    <row r="17" spans="1:12" ht="16.5" thickBot="1">
      <c r="A17" s="777" t="s">
        <v>1269</v>
      </c>
      <c r="B17" s="119">
        <v>0</v>
      </c>
      <c r="C17" s="81">
        <v>2</v>
      </c>
      <c r="D17" s="81">
        <v>0</v>
      </c>
      <c r="E17" s="81">
        <v>0</v>
      </c>
      <c r="F17" s="81">
        <v>2</v>
      </c>
      <c r="G17" s="81">
        <v>0</v>
      </c>
      <c r="H17" s="81">
        <v>2</v>
      </c>
      <c r="I17" s="81">
        <v>6</v>
      </c>
      <c r="J17" s="848">
        <f>SUM(Table_Default__XLS_TAB_37_290[[#This Row],[ILLITERATE_CNT]:[NOT_STATED_CNT]])</f>
        <v>12</v>
      </c>
      <c r="K17" s="262">
        <f t="shared" si="0"/>
        <v>1.426872770511296</v>
      </c>
      <c r="L17" s="103" t="s">
        <v>121</v>
      </c>
    </row>
    <row r="18" spans="1:12" ht="16.5" thickBot="1">
      <c r="A18" s="745" t="s">
        <v>133</v>
      </c>
      <c r="B18" s="119">
        <v>0</v>
      </c>
      <c r="C18" s="81">
        <v>0</v>
      </c>
      <c r="D18" s="81">
        <v>0</v>
      </c>
      <c r="E18" s="81">
        <v>1</v>
      </c>
      <c r="F18" s="81">
        <v>3</v>
      </c>
      <c r="G18" s="81">
        <v>0</v>
      </c>
      <c r="H18" s="81">
        <v>1</v>
      </c>
      <c r="I18" s="81">
        <v>1</v>
      </c>
      <c r="J18" s="848">
        <f>SUM(Table_Default__XLS_TAB_37_290[[#This Row],[ILLITERATE_CNT]:[NOT_STATED_CNT]])</f>
        <v>6</v>
      </c>
      <c r="K18" s="263">
        <f t="shared" si="0"/>
        <v>0.71343638525564801</v>
      </c>
      <c r="L18" s="780" t="s">
        <v>1270</v>
      </c>
    </row>
    <row r="19" spans="1:12" ht="15.75">
      <c r="A19" s="854" t="s">
        <v>15</v>
      </c>
      <c r="B19" s="850">
        <v>0</v>
      </c>
      <c r="C19" s="291">
        <v>0</v>
      </c>
      <c r="D19" s="291">
        <v>0</v>
      </c>
      <c r="E19" s="291">
        <v>1</v>
      </c>
      <c r="F19" s="291">
        <v>10</v>
      </c>
      <c r="G19" s="291">
        <v>0</v>
      </c>
      <c r="H19" s="291">
        <v>1</v>
      </c>
      <c r="I19" s="291">
        <v>53</v>
      </c>
      <c r="J19" s="851">
        <f>SUM(Table_Default__XLS_TAB_37_290[[#This Row],[ILLITERATE_CNT]:[NOT_STATED_CNT]])</f>
        <v>65</v>
      </c>
      <c r="K19" s="264">
        <f t="shared" si="0"/>
        <v>7.7288941736028534</v>
      </c>
      <c r="L19" s="856" t="s">
        <v>16</v>
      </c>
    </row>
    <row r="20" spans="1:12" ht="21" customHeight="1" thickBot="1">
      <c r="A20" s="584" t="s">
        <v>192</v>
      </c>
      <c r="B20" s="585">
        <f>SUBTOTAL(109,Table_Default__XLS_TAB_37_290[[#All],[ILLITERATE_CNT]])</f>
        <v>1</v>
      </c>
      <c r="C20" s="585">
        <f>SUBTOTAL(109,Table_Default__XLS_TAB_37_290[[#All],[READ_AND_WRITE_CNT]])</f>
        <v>4</v>
      </c>
      <c r="D20" s="585">
        <f>SUBTOTAL(109,Table_Default__XLS_TAB_37_290[[#All],[PRIMARY_CNT]])</f>
        <v>14</v>
      </c>
      <c r="E20" s="585">
        <f>SUBTOTAL(109,Table_Default__XLS_TAB_37_290[[#All],[PREPARATORY_CNT]])</f>
        <v>28</v>
      </c>
      <c r="F20" s="585">
        <f>SUBTOTAL(109,Table_Default__XLS_TAB_37_290[[#All],[SECONDARY_CNT]])</f>
        <v>313</v>
      </c>
      <c r="G20" s="585">
        <f>SUBTOTAL(109,Table_Default__XLS_TAB_37_290[[#All],[PRE_UNIVERSITY_CNT]])</f>
        <v>17</v>
      </c>
      <c r="H20" s="585">
        <f>SUBTOTAL(109,Table_Default__XLS_TAB_37_290[[#All],[UNIV_ABOVE_CNT]])</f>
        <v>232</v>
      </c>
      <c r="I20" s="585">
        <f>SUBTOTAL(109,Table_Default__XLS_TAB_37_290[[#All],[NOT_STATED_CNT]])</f>
        <v>232</v>
      </c>
      <c r="J20" s="789">
        <f>SUBTOTAL(109,Table_Default__XLS_TAB_37_290[[#All],[TOTAL]])</f>
        <v>841</v>
      </c>
      <c r="K20" s="853">
        <f>SUM(K9:K19)</f>
        <v>100</v>
      </c>
      <c r="L20" s="586" t="s">
        <v>18</v>
      </c>
    </row>
    <row r="21" spans="1:12" ht="21" customHeight="1">
      <c r="A21" s="587" t="s">
        <v>191</v>
      </c>
      <c r="B21" s="588">
        <f t="shared" ref="B21:I21" si="1">B20/$J$20%</f>
        <v>0.11890606420927467</v>
      </c>
      <c r="C21" s="588">
        <f t="shared" si="1"/>
        <v>0.47562425683709869</v>
      </c>
      <c r="D21" s="588">
        <f t="shared" si="1"/>
        <v>1.6646848989298455</v>
      </c>
      <c r="E21" s="588">
        <f t="shared" si="1"/>
        <v>3.329369797859691</v>
      </c>
      <c r="F21" s="588">
        <f t="shared" si="1"/>
        <v>37.217598097502972</v>
      </c>
      <c r="G21" s="588">
        <f t="shared" si="1"/>
        <v>2.0214030915576693</v>
      </c>
      <c r="H21" s="588">
        <f t="shared" si="1"/>
        <v>27.586206896551722</v>
      </c>
      <c r="I21" s="588">
        <f t="shared" si="1"/>
        <v>27.586206896551722</v>
      </c>
      <c r="J21" s="588">
        <f>SUM(B21:I21)</f>
        <v>100</v>
      </c>
      <c r="K21" s="1186" t="s">
        <v>190</v>
      </c>
      <c r="L21" s="1187"/>
    </row>
  </sheetData>
  <mergeCells count="9">
    <mergeCell ref="K21:L21"/>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L21"/>
  <sheetViews>
    <sheetView rightToLeft="1" view="pageBreakPreview" topLeftCell="A4" zoomScaleNormal="75" zoomScaleSheetLayoutView="100" workbookViewId="0">
      <selection activeCell="M18" sqref="M18"/>
    </sheetView>
  </sheetViews>
  <sheetFormatPr defaultColWidth="9.140625" defaultRowHeight="12.75"/>
  <cols>
    <col min="1" max="1" width="18.85546875" style="1" customWidth="1"/>
    <col min="2" max="4" width="10" style="1" customWidth="1"/>
    <col min="5" max="5" width="10.5703125" style="1" customWidth="1"/>
    <col min="6" max="9" width="10" style="1" customWidth="1"/>
    <col min="10" max="10" width="9.140625" style="1" customWidth="1"/>
    <col min="11" max="11" width="10.5703125" style="1" customWidth="1"/>
    <col min="12" max="12" width="23.5703125" style="1" customWidth="1"/>
    <col min="13" max="16384" width="9.140625" style="1"/>
  </cols>
  <sheetData>
    <row r="1" spans="1:12" s="2" customFormat="1" ht="24" customHeight="1">
      <c r="A1" s="1009" t="s">
        <v>367</v>
      </c>
      <c r="B1" s="1009"/>
      <c r="C1" s="1009"/>
      <c r="D1" s="1009"/>
      <c r="E1" s="1009"/>
      <c r="F1" s="1009"/>
      <c r="G1" s="1009"/>
      <c r="H1" s="1009"/>
      <c r="I1" s="1009"/>
      <c r="J1" s="1009"/>
      <c r="K1" s="1009"/>
      <c r="L1" s="1009"/>
    </row>
    <row r="2" spans="1:12" s="3" customFormat="1" ht="18">
      <c r="A2" s="1036" t="s">
        <v>366</v>
      </c>
      <c r="B2" s="1036"/>
      <c r="C2" s="1036"/>
      <c r="D2" s="1036"/>
      <c r="E2" s="1036"/>
      <c r="F2" s="1036"/>
      <c r="G2" s="1036"/>
      <c r="H2" s="1036"/>
      <c r="I2" s="1036"/>
      <c r="J2" s="1036"/>
      <c r="K2" s="1036"/>
      <c r="L2" s="1036"/>
    </row>
    <row r="3" spans="1:12" s="2" customFormat="1" ht="15.75">
      <c r="A3" s="1037">
        <v>2019</v>
      </c>
      <c r="B3" s="1037"/>
      <c r="C3" s="1037"/>
      <c r="D3" s="1037"/>
      <c r="E3" s="1037"/>
      <c r="F3" s="1037"/>
      <c r="G3" s="1037"/>
      <c r="H3" s="1037"/>
      <c r="I3" s="1037"/>
      <c r="J3" s="1037"/>
      <c r="K3" s="1037"/>
      <c r="L3" s="1037"/>
    </row>
    <row r="4" spans="1:12" s="2" customFormat="1" ht="15.75">
      <c r="A4" s="1037" t="s">
        <v>1</v>
      </c>
      <c r="B4" s="1037"/>
      <c r="C4" s="1037"/>
      <c r="D4" s="1037"/>
      <c r="E4" s="1037"/>
      <c r="F4" s="1037"/>
      <c r="G4" s="1037"/>
      <c r="H4" s="1037"/>
      <c r="I4" s="1037"/>
      <c r="J4" s="1037"/>
      <c r="K4" s="1037"/>
      <c r="L4" s="1037"/>
    </row>
    <row r="5" spans="1:12" s="2" customFormat="1" ht="15.75">
      <c r="A5" s="361"/>
      <c r="B5" s="361"/>
      <c r="C5" s="361"/>
      <c r="D5" s="361"/>
      <c r="E5" s="361"/>
      <c r="F5" s="361"/>
      <c r="G5" s="361"/>
      <c r="H5" s="361"/>
      <c r="I5" s="361"/>
      <c r="J5" s="361"/>
      <c r="K5" s="361"/>
      <c r="L5" s="361"/>
    </row>
    <row r="6" spans="1:12" ht="15.75">
      <c r="A6" s="373" t="s">
        <v>2</v>
      </c>
      <c r="B6" s="377"/>
      <c r="C6" s="377"/>
      <c r="D6" s="377"/>
      <c r="E6" s="377"/>
      <c r="F6" s="377"/>
      <c r="G6" s="377"/>
      <c r="H6" s="377"/>
      <c r="I6" s="377"/>
      <c r="J6" s="377"/>
      <c r="K6" s="377"/>
      <c r="L6" s="375" t="s">
        <v>3</v>
      </c>
    </row>
    <row r="7" spans="1:12" ht="30.75" customHeight="1" thickBot="1">
      <c r="A7" s="1099" t="s">
        <v>315</v>
      </c>
      <c r="B7" s="1113" t="s">
        <v>207</v>
      </c>
      <c r="C7" s="1113"/>
      <c r="D7" s="1113"/>
      <c r="E7" s="1113"/>
      <c r="F7" s="1113"/>
      <c r="G7" s="1113"/>
      <c r="H7" s="1113"/>
      <c r="I7" s="1113"/>
      <c r="J7" s="1113"/>
      <c r="K7" s="1114" t="s">
        <v>617</v>
      </c>
      <c r="L7" s="1106" t="s">
        <v>365</v>
      </c>
    </row>
    <row r="8" spans="1:12" ht="60.75" customHeight="1">
      <c r="A8" s="1100"/>
      <c r="B8" s="179" t="s">
        <v>625</v>
      </c>
      <c r="C8" s="179" t="s">
        <v>660</v>
      </c>
      <c r="D8" s="324" t="s">
        <v>744</v>
      </c>
      <c r="E8" s="179" t="s">
        <v>623</v>
      </c>
      <c r="F8" s="179" t="s">
        <v>622</v>
      </c>
      <c r="G8" s="179" t="s">
        <v>621</v>
      </c>
      <c r="H8" s="179" t="s">
        <v>620</v>
      </c>
      <c r="I8" s="179" t="s">
        <v>626</v>
      </c>
      <c r="J8" s="325" t="s">
        <v>619</v>
      </c>
      <c r="K8" s="1128"/>
      <c r="L8" s="1107"/>
    </row>
    <row r="9" spans="1:12" ht="16.5" thickBot="1">
      <c r="A9" s="857">
        <v>-20</v>
      </c>
      <c r="B9" s="81">
        <v>0</v>
      </c>
      <c r="C9" s="81">
        <v>0</v>
      </c>
      <c r="D9" s="81">
        <v>3</v>
      </c>
      <c r="E9" s="81">
        <v>3</v>
      </c>
      <c r="F9" s="81">
        <v>3</v>
      </c>
      <c r="G9" s="81">
        <v>0</v>
      </c>
      <c r="H9" s="81">
        <v>0</v>
      </c>
      <c r="I9" s="81">
        <v>0</v>
      </c>
      <c r="J9" s="7">
        <f>SUM(Table_Default__XLS_TAB_37_391[[#This Row],[ILLITERATE_CNT]:[NOT_STATED_CNT]])</f>
        <v>9</v>
      </c>
      <c r="K9" s="786">
        <f t="shared" ref="K9:K19" si="0">J9/$J$20%</f>
        <v>0.49099836333878893</v>
      </c>
      <c r="L9" s="787">
        <v>-20</v>
      </c>
    </row>
    <row r="10" spans="1:12" ht="16.5" thickBot="1">
      <c r="A10" s="745" t="s">
        <v>1262</v>
      </c>
      <c r="B10" s="858">
        <v>0</v>
      </c>
      <c r="C10" s="858">
        <v>0</v>
      </c>
      <c r="D10" s="858">
        <v>7</v>
      </c>
      <c r="E10" s="858">
        <v>40</v>
      </c>
      <c r="F10" s="858">
        <v>108</v>
      </c>
      <c r="G10" s="858">
        <v>0</v>
      </c>
      <c r="H10" s="858">
        <v>8</v>
      </c>
      <c r="I10" s="858">
        <v>3</v>
      </c>
      <c r="J10" s="7">
        <f>SUM(Table_Default__XLS_TAB_37_391[[#This Row],[ILLITERATE_CNT]:[NOT_STATED_CNT]])</f>
        <v>166</v>
      </c>
      <c r="K10" s="9">
        <f t="shared" si="0"/>
        <v>9.0561920349154406</v>
      </c>
      <c r="L10" s="780" t="s">
        <v>128</v>
      </c>
    </row>
    <row r="11" spans="1:12" ht="16.5" thickBot="1">
      <c r="A11" s="777" t="s">
        <v>1263</v>
      </c>
      <c r="B11" s="858">
        <v>0</v>
      </c>
      <c r="C11" s="858">
        <v>0</v>
      </c>
      <c r="D11" s="858">
        <v>6</v>
      </c>
      <c r="E11" s="858">
        <v>19</v>
      </c>
      <c r="F11" s="858">
        <v>243</v>
      </c>
      <c r="G11" s="858">
        <v>5</v>
      </c>
      <c r="H11" s="858">
        <v>71</v>
      </c>
      <c r="I11" s="858">
        <v>20</v>
      </c>
      <c r="J11" s="7">
        <f>SUM(Table_Default__XLS_TAB_37_391[[#This Row],[ILLITERATE_CNT]:[NOT_STATED_CNT]])</f>
        <v>364</v>
      </c>
      <c r="K11" s="10">
        <f t="shared" si="0"/>
        <v>19.858156028368796</v>
      </c>
      <c r="L11" s="781" t="s">
        <v>127</v>
      </c>
    </row>
    <row r="12" spans="1:12" ht="16.5" thickBot="1">
      <c r="A12" s="745" t="s">
        <v>1264</v>
      </c>
      <c r="B12" s="858">
        <v>0</v>
      </c>
      <c r="C12" s="858">
        <v>1</v>
      </c>
      <c r="D12" s="858">
        <v>8</v>
      </c>
      <c r="E12" s="858">
        <v>25</v>
      </c>
      <c r="F12" s="858">
        <v>206</v>
      </c>
      <c r="G12" s="858">
        <v>11</v>
      </c>
      <c r="H12" s="858">
        <v>106</v>
      </c>
      <c r="I12" s="858">
        <v>39</v>
      </c>
      <c r="J12" s="7">
        <f>SUM(Table_Default__XLS_TAB_37_391[[#This Row],[ILLITERATE_CNT]:[NOT_STATED_CNT]])</f>
        <v>396</v>
      </c>
      <c r="K12" s="9">
        <f t="shared" si="0"/>
        <v>21.603927986906712</v>
      </c>
      <c r="L12" s="780" t="s">
        <v>126</v>
      </c>
    </row>
    <row r="13" spans="1:12" ht="16.5" thickBot="1">
      <c r="A13" s="777" t="s">
        <v>1265</v>
      </c>
      <c r="B13" s="858">
        <v>2</v>
      </c>
      <c r="C13" s="858">
        <v>0</v>
      </c>
      <c r="D13" s="858">
        <v>9</v>
      </c>
      <c r="E13" s="858">
        <v>7</v>
      </c>
      <c r="F13" s="858">
        <v>110</v>
      </c>
      <c r="G13" s="858">
        <v>8</v>
      </c>
      <c r="H13" s="858">
        <v>115</v>
      </c>
      <c r="I13" s="858">
        <v>49</v>
      </c>
      <c r="J13" s="7">
        <f>SUM(Table_Default__XLS_TAB_37_391[[#This Row],[ILLITERATE_CNT]:[NOT_STATED_CNT]])</f>
        <v>300</v>
      </c>
      <c r="K13" s="10">
        <f t="shared" si="0"/>
        <v>16.366612111292962</v>
      </c>
      <c r="L13" s="781" t="s">
        <v>125</v>
      </c>
    </row>
    <row r="14" spans="1:12" ht="16.5" thickBot="1">
      <c r="A14" s="745" t="s">
        <v>1266</v>
      </c>
      <c r="B14" s="858">
        <v>0</v>
      </c>
      <c r="C14" s="858">
        <v>1</v>
      </c>
      <c r="D14" s="858">
        <v>5</v>
      </c>
      <c r="E14" s="858">
        <v>11</v>
      </c>
      <c r="F14" s="858">
        <v>80</v>
      </c>
      <c r="G14" s="858">
        <v>1</v>
      </c>
      <c r="H14" s="858">
        <v>70</v>
      </c>
      <c r="I14" s="858">
        <v>44</v>
      </c>
      <c r="J14" s="7">
        <f>SUM(Table_Default__XLS_TAB_37_391[[#This Row],[ILLITERATE_CNT]:[NOT_STATED_CNT]])</f>
        <v>212</v>
      </c>
      <c r="K14" s="9">
        <f t="shared" si="0"/>
        <v>11.565739225313694</v>
      </c>
      <c r="L14" s="780" t="s">
        <v>124</v>
      </c>
    </row>
    <row r="15" spans="1:12" ht="16.5" thickBot="1">
      <c r="A15" s="777" t="s">
        <v>1267</v>
      </c>
      <c r="B15" s="858">
        <v>0</v>
      </c>
      <c r="C15" s="858">
        <v>4</v>
      </c>
      <c r="D15" s="858">
        <v>2</v>
      </c>
      <c r="E15" s="858">
        <v>11</v>
      </c>
      <c r="F15" s="858">
        <v>37</v>
      </c>
      <c r="G15" s="858">
        <v>6</v>
      </c>
      <c r="H15" s="858">
        <v>54</v>
      </c>
      <c r="I15" s="858">
        <v>51</v>
      </c>
      <c r="J15" s="7">
        <f>SUM(Table_Default__XLS_TAB_37_391[[#This Row],[ILLITERATE_CNT]:[NOT_STATED_CNT]])</f>
        <v>165</v>
      </c>
      <c r="K15" s="10">
        <f t="shared" si="0"/>
        <v>9.0016366612111298</v>
      </c>
      <c r="L15" s="781" t="s">
        <v>123</v>
      </c>
    </row>
    <row r="16" spans="1:12" ht="16.5" thickBot="1">
      <c r="A16" s="745" t="s">
        <v>1268</v>
      </c>
      <c r="B16" s="858">
        <v>0</v>
      </c>
      <c r="C16" s="858">
        <v>1</v>
      </c>
      <c r="D16" s="858">
        <v>2</v>
      </c>
      <c r="E16" s="858">
        <v>5</v>
      </c>
      <c r="F16" s="858">
        <v>18</v>
      </c>
      <c r="G16" s="858">
        <v>3</v>
      </c>
      <c r="H16" s="858">
        <v>33</v>
      </c>
      <c r="I16" s="858">
        <v>28</v>
      </c>
      <c r="J16" s="7">
        <f>SUM(Table_Default__XLS_TAB_37_391[[#This Row],[ILLITERATE_CNT]:[NOT_STATED_CNT]])</f>
        <v>90</v>
      </c>
      <c r="K16" s="9">
        <f t="shared" si="0"/>
        <v>4.9099836333878892</v>
      </c>
      <c r="L16" s="780" t="s">
        <v>122</v>
      </c>
    </row>
    <row r="17" spans="1:12" ht="16.5" thickBot="1">
      <c r="A17" s="777" t="s">
        <v>1269</v>
      </c>
      <c r="B17" s="858">
        <v>1</v>
      </c>
      <c r="C17" s="858">
        <v>3</v>
      </c>
      <c r="D17" s="858">
        <v>3</v>
      </c>
      <c r="E17" s="858">
        <v>2</v>
      </c>
      <c r="F17" s="858">
        <v>9</v>
      </c>
      <c r="G17" s="858">
        <v>0</v>
      </c>
      <c r="H17" s="858">
        <v>7</v>
      </c>
      <c r="I17" s="858">
        <v>19</v>
      </c>
      <c r="J17" s="7">
        <f>SUM(Table_Default__XLS_TAB_37_391[[#This Row],[ILLITERATE_CNT]:[NOT_STATED_CNT]])</f>
        <v>44</v>
      </c>
      <c r="K17" s="10">
        <f t="shared" si="0"/>
        <v>2.4004364429896348</v>
      </c>
      <c r="L17" s="781" t="s">
        <v>121</v>
      </c>
    </row>
    <row r="18" spans="1:12" ht="16.5" thickBot="1">
      <c r="A18" s="745" t="s">
        <v>133</v>
      </c>
      <c r="B18" s="858">
        <v>0</v>
      </c>
      <c r="C18" s="858">
        <v>1</v>
      </c>
      <c r="D18" s="858">
        <v>1</v>
      </c>
      <c r="E18" s="858">
        <v>2</v>
      </c>
      <c r="F18" s="858">
        <v>8</v>
      </c>
      <c r="G18" s="858">
        <v>0</v>
      </c>
      <c r="H18" s="858">
        <v>3</v>
      </c>
      <c r="I18" s="858">
        <v>7</v>
      </c>
      <c r="J18" s="7">
        <f>SUM(Table_Default__XLS_TAB_37_391[[#This Row],[ILLITERATE_CNT]:[NOT_STATED_CNT]])</f>
        <v>22</v>
      </c>
      <c r="K18" s="9">
        <f t="shared" si="0"/>
        <v>1.2002182214948174</v>
      </c>
      <c r="L18" s="780" t="s">
        <v>1270</v>
      </c>
    </row>
    <row r="19" spans="1:12" ht="16.5" thickBot="1">
      <c r="A19" s="854" t="s">
        <v>15</v>
      </c>
      <c r="B19" s="859">
        <v>0</v>
      </c>
      <c r="C19" s="859">
        <v>0</v>
      </c>
      <c r="D19" s="859">
        <v>0</v>
      </c>
      <c r="E19" s="859">
        <v>1</v>
      </c>
      <c r="F19" s="859">
        <v>10</v>
      </c>
      <c r="G19" s="859">
        <v>0</v>
      </c>
      <c r="H19" s="859">
        <v>1</v>
      </c>
      <c r="I19" s="859">
        <v>53</v>
      </c>
      <c r="J19" s="7">
        <f>SUM(Table_Default__XLS_TAB_37_391[[#This Row],[ILLITERATE_CNT]:[NOT_STATED_CNT]])</f>
        <v>65</v>
      </c>
      <c r="K19" s="172">
        <f t="shared" si="0"/>
        <v>3.5460992907801421</v>
      </c>
      <c r="L19" s="788" t="s">
        <v>16</v>
      </c>
    </row>
    <row r="20" spans="1:12" ht="21" customHeight="1" thickBot="1">
      <c r="A20" s="584" t="s">
        <v>192</v>
      </c>
      <c r="B20" s="585">
        <f>SUBTOTAL(109,Table_Default__XLS_TAB_37_391[[#All],[ILLITERATE_CNT]])</f>
        <v>3</v>
      </c>
      <c r="C20" s="585">
        <f>SUBTOTAL(109,Table_Default__XLS_TAB_37_391[[#All],[READ_AND_WRITE_CNT]])</f>
        <v>11</v>
      </c>
      <c r="D20" s="585">
        <f>SUBTOTAL(109,Table_Default__XLS_TAB_37_391[[#All],[PRIMARY_CNT]])</f>
        <v>46</v>
      </c>
      <c r="E20" s="585">
        <f>SUBTOTAL(109,Table_Default__XLS_TAB_37_391[[#All],[PREPARATORY_CNT]])</f>
        <v>126</v>
      </c>
      <c r="F20" s="585">
        <f>SUBTOTAL(109,Table_Default__XLS_TAB_37_391[[#All],[SECONDARY_CNT]])</f>
        <v>832</v>
      </c>
      <c r="G20" s="585">
        <f>SUBTOTAL(109,Table_Default__XLS_TAB_37_391[[#All],[PRE_UNIVERSITY_CNT]])</f>
        <v>34</v>
      </c>
      <c r="H20" s="585">
        <f>SUBTOTAL(109,Table_Default__XLS_TAB_37_391[[#All],[UNIV_ABOVE_CNT]])</f>
        <v>468</v>
      </c>
      <c r="I20" s="585">
        <f>SUBTOTAL(109,Table_Default__XLS_TAB_37_391[[#All],[NOT_STATED_CNT]])</f>
        <v>313</v>
      </c>
      <c r="J20" s="861">
        <f>SUBTOTAL(109,Table_Default__XLS_TAB_37_391[[#All],[TOTAL]])</f>
        <v>1833</v>
      </c>
      <c r="K20" s="853">
        <f>SUM(K9:K19)</f>
        <v>100.00000000000001</v>
      </c>
      <c r="L20" s="586" t="s">
        <v>18</v>
      </c>
    </row>
    <row r="21" spans="1:12" ht="21" customHeight="1">
      <c r="A21" s="587" t="s">
        <v>191</v>
      </c>
      <c r="B21" s="588">
        <f t="shared" ref="B21:I21" si="1">B20/$J$20%</f>
        <v>0.16366612111292964</v>
      </c>
      <c r="C21" s="588">
        <f>C20/$J$20%</f>
        <v>0.60010911074740869</v>
      </c>
      <c r="D21" s="588">
        <f t="shared" si="1"/>
        <v>2.5095471903982545</v>
      </c>
      <c r="E21" s="588">
        <f t="shared" si="1"/>
        <v>6.8739770867430448</v>
      </c>
      <c r="F21" s="588">
        <f t="shared" si="1"/>
        <v>45.390070921985817</v>
      </c>
      <c r="G21" s="588">
        <f t="shared" si="1"/>
        <v>1.8548827059465358</v>
      </c>
      <c r="H21" s="588">
        <f t="shared" si="1"/>
        <v>25.531914893617024</v>
      </c>
      <c r="I21" s="588">
        <f t="shared" si="1"/>
        <v>17.075831969448991</v>
      </c>
      <c r="J21" s="588">
        <f>SUM(B21:I21)</f>
        <v>100</v>
      </c>
      <c r="K21" s="1186" t="s">
        <v>190</v>
      </c>
      <c r="L21" s="1187"/>
    </row>
  </sheetData>
  <mergeCells count="9">
    <mergeCell ref="K21:L21"/>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rabicTitle xmlns="b1657202-86a7-46c3-ba71-02bb0da5a392">النشرة السنوية للإحصاءات الحيوية الزواج والطلاق 2019 </ArabicTitle>
    <PublishingRollupImage xmlns="http://schemas.microsoft.com/sharepoint/v3" xsi:nil="true"/>
    <DocumentDescription xmlns="b1657202-86a7-46c3-ba71-02bb0da5a392">النشرة السنوية للإحصاءات الحيوية الزواج والطلاق 2019 </DocumentDescription>
    <Visible xmlns="b1657202-86a7-46c3-ba71-02bb0da5a392">true</Visible>
    <EnglishTitle xmlns="b1657202-86a7-46c3-ba71-02bb0da5a392">Vital Statistics Annual Bulletin Marriage and Divorce 2019 </EnglishTitle>
    <Year xmlns="b1657202-86a7-46c3-ba71-02bb0da5a392">2019</Year>
    <DocumentDescription0 xmlns="423524d6-f9d7-4b47-aadf-7b8f6888b7b0">Vital Statistics Annual Bulletin Marriage and Divorce 2019</DocumentDescription0>
    <DocType xmlns="b1657202-86a7-46c3-ba71-02bb0da5a392">
      <Value>Publication</Value>
    </DocType>
    <PublishingStartDate xmlns="http://schemas.microsoft.com/sharepoint/v3">2021-03-03T21:00:00+00:00</PublishingStartDate>
    <TaxCatchAll xmlns="b1657202-86a7-46c3-ba71-02bb0da5a392"/>
    <MDPSLanguage xmlns="b1657202-86a7-46c3-ba71-02bb0da5a392">Both</MDPSLanguage>
    <TaxKeywordTaxHTField xmlns="b1657202-86a7-46c3-ba71-02bb0da5a392">
      <Terms xmlns="http://schemas.microsoft.com/office/infopath/2007/PartnerControls"/>
    </TaxKeywordTaxHTField>
    <DocPeriodicity xmlns="423524d6-f9d7-4b47-aadf-7b8f6888b7b0">Annual</DocPeriodicity>
  </documentManagement>
</p:properties>
</file>

<file path=customXml/itemProps1.xml><?xml version="1.0" encoding="utf-8"?>
<ds:datastoreItem xmlns:ds="http://schemas.openxmlformats.org/officeDocument/2006/customXml" ds:itemID="{C02A0DC8-43FA-4FCA-921D-F3964497BD42}"/>
</file>

<file path=customXml/itemProps2.xml><?xml version="1.0" encoding="utf-8"?>
<ds:datastoreItem xmlns:ds="http://schemas.openxmlformats.org/officeDocument/2006/customXml" ds:itemID="{4D381197-9BE7-4A34-B413-15FF20AA8B33}"/>
</file>

<file path=customXml/itemProps3.xml><?xml version="1.0" encoding="utf-8"?>
<ds:datastoreItem xmlns:ds="http://schemas.openxmlformats.org/officeDocument/2006/customXml" ds:itemID="{29CADF41-1CFC-4B19-B307-3CAC320C33E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126</vt:i4>
      </vt:variant>
      <vt:variant>
        <vt:lpstr>Named Ranges</vt:lpstr>
      </vt:variant>
      <vt:variant>
        <vt:i4>118</vt:i4>
      </vt:variant>
    </vt:vector>
  </HeadingPairs>
  <TitlesOfParts>
    <vt:vector size="244" baseType="lpstr">
      <vt:lpstr>Sheet1</vt:lpstr>
      <vt:lpstr>Intr.</vt:lpstr>
      <vt:lpstr>Cont.</vt:lpstr>
      <vt:lpstr>ConT.GR</vt:lpstr>
      <vt:lpstr>-</vt:lpstr>
      <vt:lpstr>Pref.</vt:lpstr>
      <vt:lpstr>Def.</vt:lpstr>
      <vt:lpstr>المؤشرات</vt:lpstr>
      <vt:lpstr>FIRST</vt:lpstr>
      <vt:lpstr>1</vt:lpstr>
      <vt:lpstr>GR-1</vt:lpstr>
      <vt:lpstr>2</vt:lpstr>
      <vt:lpstr>3</vt:lpstr>
      <vt:lpstr>GR-2</vt:lpstr>
      <vt:lpstr>4</vt:lpstr>
      <vt:lpstr>GR-3</vt:lpstr>
      <vt:lpstr>5</vt:lpstr>
      <vt:lpstr>GR-4</vt:lpstr>
      <vt:lpstr>6</vt:lpstr>
      <vt:lpstr>GR-5</vt:lpstr>
      <vt:lpstr>7</vt:lpstr>
      <vt:lpstr>8</vt:lpstr>
      <vt:lpstr>GR-6</vt:lpstr>
      <vt:lpstr>9</vt:lpstr>
      <vt:lpstr>10</vt:lpstr>
      <vt:lpstr>11-1</vt:lpstr>
      <vt:lpstr>11-2</vt:lpstr>
      <vt:lpstr>11-3</vt:lpstr>
      <vt:lpstr>12-1</vt:lpstr>
      <vt:lpstr>12-2</vt:lpstr>
      <vt:lpstr>12-3</vt:lpstr>
      <vt:lpstr>13-1</vt:lpstr>
      <vt:lpstr>13-2</vt:lpstr>
      <vt:lpstr>13-3</vt:lpstr>
      <vt:lpstr>14-1</vt:lpstr>
      <vt:lpstr>14-2</vt:lpstr>
      <vt:lpstr>14-3</vt:lpstr>
      <vt:lpstr>15-1</vt:lpstr>
      <vt:lpstr>15-2</vt:lpstr>
      <vt:lpstr>15-3</vt:lpstr>
      <vt:lpstr>16-1</vt:lpstr>
      <vt:lpstr>16-2</vt:lpstr>
      <vt:lpstr>16-3</vt:lpstr>
      <vt:lpstr>GR-7</vt:lpstr>
      <vt:lpstr>17-1</vt:lpstr>
      <vt:lpstr>17-2</vt:lpstr>
      <vt:lpstr>17-3</vt:lpstr>
      <vt:lpstr>GR-8 </vt:lpstr>
      <vt:lpstr>18-1</vt:lpstr>
      <vt:lpstr>18-2</vt:lpstr>
      <vt:lpstr>18-3</vt:lpstr>
      <vt:lpstr>19</vt:lpstr>
      <vt:lpstr>20</vt:lpstr>
      <vt:lpstr>GR9</vt:lpstr>
      <vt:lpstr>SECOND</vt:lpstr>
      <vt:lpstr>21</vt:lpstr>
      <vt:lpstr>GR-10</vt:lpstr>
      <vt:lpstr>22</vt:lpstr>
      <vt:lpstr>GR11</vt:lpstr>
      <vt:lpstr>23</vt:lpstr>
      <vt:lpstr>GR12</vt:lpstr>
      <vt:lpstr>24</vt:lpstr>
      <vt:lpstr>GR13</vt:lpstr>
      <vt:lpstr>GR14</vt:lpstr>
      <vt:lpstr>25-1</vt:lpstr>
      <vt:lpstr>25-2</vt:lpstr>
      <vt:lpstr>25-3</vt:lpstr>
      <vt:lpstr>26-1</vt:lpstr>
      <vt:lpstr>26-2</vt:lpstr>
      <vt:lpstr>26-3</vt:lpstr>
      <vt:lpstr>27</vt:lpstr>
      <vt:lpstr>28.1</vt:lpstr>
      <vt:lpstr>28.2</vt:lpstr>
      <vt:lpstr>28.3</vt:lpstr>
      <vt:lpstr>29</vt:lpstr>
      <vt:lpstr>30.1</vt:lpstr>
      <vt:lpstr>30.2</vt:lpstr>
      <vt:lpstr>30.3</vt:lpstr>
      <vt:lpstr>31.1</vt:lpstr>
      <vt:lpstr>31.2</vt:lpstr>
      <vt:lpstr>31.3</vt:lpstr>
      <vt:lpstr>32.1</vt:lpstr>
      <vt:lpstr>32.2</vt:lpstr>
      <vt:lpstr>32.3</vt:lpstr>
      <vt:lpstr>33.1</vt:lpstr>
      <vt:lpstr>33.2</vt:lpstr>
      <vt:lpstr>33.3</vt:lpstr>
      <vt:lpstr>34</vt:lpstr>
      <vt:lpstr>35</vt:lpstr>
      <vt:lpstr>36</vt:lpstr>
      <vt:lpstr>GR15</vt:lpstr>
      <vt:lpstr>37</vt:lpstr>
      <vt:lpstr>38.1</vt:lpstr>
      <vt:lpstr>38.2</vt:lpstr>
      <vt:lpstr>38.3</vt:lpstr>
      <vt:lpstr>GR16</vt:lpstr>
      <vt:lpstr>39.1</vt:lpstr>
      <vt:lpstr>39.2</vt:lpstr>
      <vt:lpstr>39.3</vt:lpstr>
      <vt:lpstr>40.1</vt:lpstr>
      <vt:lpstr>40.2</vt:lpstr>
      <vt:lpstr>40.3</vt:lpstr>
      <vt:lpstr>GR17</vt:lpstr>
      <vt:lpstr>41.1</vt:lpstr>
      <vt:lpstr>GR18</vt:lpstr>
      <vt:lpstr>41.2</vt:lpstr>
      <vt:lpstr>GR19</vt:lpstr>
      <vt:lpstr>41.3</vt:lpstr>
      <vt:lpstr>GR20</vt:lpstr>
      <vt:lpstr>42-1</vt:lpstr>
      <vt:lpstr>GR21</vt:lpstr>
      <vt:lpstr>42-2</vt:lpstr>
      <vt:lpstr>GR22</vt:lpstr>
      <vt:lpstr>42-3</vt:lpstr>
      <vt:lpstr>GR23</vt:lpstr>
      <vt:lpstr>43-1</vt:lpstr>
      <vt:lpstr>43-2</vt:lpstr>
      <vt:lpstr>43-3</vt:lpstr>
      <vt:lpstr>44</vt:lpstr>
      <vt:lpstr>GR24</vt:lpstr>
      <vt:lpstr>45</vt:lpstr>
      <vt:lpstr>46</vt:lpstr>
      <vt:lpstr>47</vt:lpstr>
      <vt:lpstr>الملاحق</vt:lpstr>
      <vt:lpstr>الزواج Marriage</vt:lpstr>
      <vt:lpstr>الطلاق Divorces</vt:lpstr>
      <vt:lpstr>'-'!Print_Area</vt:lpstr>
      <vt:lpstr>'1'!Print_Area</vt:lpstr>
      <vt:lpstr>'10'!Print_Area</vt:lpstr>
      <vt:lpstr>'11-1'!Print_Area</vt:lpstr>
      <vt:lpstr>'11-2'!Print_Area</vt:lpstr>
      <vt:lpstr>'11-3'!Print_Area</vt:lpstr>
      <vt:lpstr>'12-1'!Print_Area</vt:lpstr>
      <vt:lpstr>'12-2'!Print_Area</vt:lpstr>
      <vt:lpstr>'12-3'!Print_Area</vt:lpstr>
      <vt:lpstr>'13-1'!Print_Area</vt:lpstr>
      <vt:lpstr>'13-2'!Print_Area</vt:lpstr>
      <vt:lpstr>'13-3'!Print_Area</vt:lpstr>
      <vt:lpstr>'14-1'!Print_Area</vt:lpstr>
      <vt:lpstr>'14-2'!Print_Area</vt:lpstr>
      <vt:lpstr>'14-3'!Print_Area</vt:lpstr>
      <vt:lpstr>'15-1'!Print_Area</vt:lpstr>
      <vt:lpstr>'15-2'!Print_Area</vt:lpstr>
      <vt:lpstr>'15-3'!Print_Area</vt:lpstr>
      <vt:lpstr>'16-1'!Print_Area</vt:lpstr>
      <vt:lpstr>'16-2'!Print_Area</vt:lpstr>
      <vt:lpstr>'16-3'!Print_Area</vt:lpstr>
      <vt:lpstr>'17-1'!Print_Area</vt:lpstr>
      <vt:lpstr>'17-2'!Print_Area</vt:lpstr>
      <vt:lpstr>'17-3'!Print_Area</vt:lpstr>
      <vt:lpstr>'18-1'!Print_Area</vt:lpstr>
      <vt:lpstr>'18-2'!Print_Area</vt:lpstr>
      <vt:lpstr>'18-3'!Print_Area</vt:lpstr>
      <vt:lpstr>'19'!Print_Area</vt:lpstr>
      <vt:lpstr>'2'!Print_Area</vt:lpstr>
      <vt:lpstr>'20'!Print_Area</vt:lpstr>
      <vt:lpstr>'22'!Print_Area</vt:lpstr>
      <vt:lpstr>'23'!Print_Area</vt:lpstr>
      <vt:lpstr>'24'!Print_Area</vt:lpstr>
      <vt:lpstr>'25-1'!Print_Area</vt:lpstr>
      <vt:lpstr>'25-2'!Print_Area</vt:lpstr>
      <vt:lpstr>'25-3'!Print_Area</vt:lpstr>
      <vt:lpstr>'26-1'!Print_Area</vt:lpstr>
      <vt:lpstr>'26-2'!Print_Area</vt:lpstr>
      <vt:lpstr>'26-3'!Print_Area</vt:lpstr>
      <vt:lpstr>'27'!Print_Area</vt:lpstr>
      <vt:lpstr>'28.1'!Print_Area</vt:lpstr>
      <vt:lpstr>'28.2'!Print_Area</vt:lpstr>
      <vt:lpstr>'29'!Print_Area</vt:lpstr>
      <vt:lpstr>'30.1'!Print_Area</vt:lpstr>
      <vt:lpstr>'30.2'!Print_Area</vt:lpstr>
      <vt:lpstr>'30.3'!Print_Area</vt:lpstr>
      <vt:lpstr>'31.1'!Print_Area</vt:lpstr>
      <vt:lpstr>'31.2'!Print_Area</vt:lpstr>
      <vt:lpstr>'31.3'!Print_Area</vt:lpstr>
      <vt:lpstr>'32.1'!Print_Area</vt:lpstr>
      <vt:lpstr>'32.2'!Print_Area</vt:lpstr>
      <vt:lpstr>'32.3'!Print_Area</vt:lpstr>
      <vt:lpstr>'33.1'!Print_Area</vt:lpstr>
      <vt:lpstr>'33.2'!Print_Area</vt:lpstr>
      <vt:lpstr>'33.3'!Print_Area</vt:lpstr>
      <vt:lpstr>'34'!Print_Area</vt:lpstr>
      <vt:lpstr>'35'!Print_Area</vt:lpstr>
      <vt:lpstr>'36'!Print_Area</vt:lpstr>
      <vt:lpstr>'37'!Print_Area</vt:lpstr>
      <vt:lpstr>'38.1'!Print_Area</vt:lpstr>
      <vt:lpstr>'38.2'!Print_Area</vt:lpstr>
      <vt:lpstr>'38.3'!Print_Area</vt:lpstr>
      <vt:lpstr>'39.1'!Print_Area</vt:lpstr>
      <vt:lpstr>'39.2'!Print_Area</vt:lpstr>
      <vt:lpstr>'39.3'!Print_Area</vt:lpstr>
      <vt:lpstr>'4'!Print_Area</vt:lpstr>
      <vt:lpstr>'40.1'!Print_Area</vt:lpstr>
      <vt:lpstr>'40.2'!Print_Area</vt:lpstr>
      <vt:lpstr>'40.3'!Print_Area</vt:lpstr>
      <vt:lpstr>'41.1'!Print_Area</vt:lpstr>
      <vt:lpstr>'41.2'!Print_Area</vt:lpstr>
      <vt:lpstr>'41.3'!Print_Area</vt:lpstr>
      <vt:lpstr>'42-1'!Print_Area</vt:lpstr>
      <vt:lpstr>'42-2'!Print_Area</vt:lpstr>
      <vt:lpstr>'42-3'!Print_Area</vt:lpstr>
      <vt:lpstr>'43-1'!Print_Area</vt:lpstr>
      <vt:lpstr>'43-2'!Print_Area</vt:lpstr>
      <vt:lpstr>'43-3'!Print_Area</vt:lpstr>
      <vt:lpstr>'44'!Print_Area</vt:lpstr>
      <vt:lpstr>'45'!Print_Area</vt:lpstr>
      <vt:lpstr>'46'!Print_Area</vt:lpstr>
      <vt:lpstr>'47'!Print_Area</vt:lpstr>
      <vt:lpstr>'6'!Print_Area</vt:lpstr>
      <vt:lpstr>'7'!Print_Area</vt:lpstr>
      <vt:lpstr>'8'!Print_Area</vt:lpstr>
      <vt:lpstr>'9'!Print_Area</vt:lpstr>
      <vt:lpstr>Cont.!Print_Area</vt:lpstr>
      <vt:lpstr>ConT.GR!Print_Area</vt:lpstr>
      <vt:lpstr>Def.!Print_Area</vt:lpstr>
      <vt:lpstr>'GR-1'!Print_Area</vt:lpstr>
      <vt:lpstr>'GR-10'!Print_Area</vt:lpstr>
      <vt:lpstr>'GR11'!Print_Area</vt:lpstr>
      <vt:lpstr>'GR12'!Print_Area</vt:lpstr>
      <vt:lpstr>'GR13'!Print_Area</vt:lpstr>
      <vt:lpstr>'GR14'!Print_Area</vt:lpstr>
      <vt:lpstr>'GR15'!Print_Area</vt:lpstr>
      <vt:lpstr>'GR16'!Print_Area</vt:lpstr>
      <vt:lpstr>'GR17'!Print_Area</vt:lpstr>
      <vt:lpstr>'GR18'!Print_Area</vt:lpstr>
      <vt:lpstr>'GR19'!Print_Area</vt:lpstr>
      <vt:lpstr>'GR-2'!Print_Area</vt:lpstr>
      <vt:lpstr>'GR20'!Print_Area</vt:lpstr>
      <vt:lpstr>'GR21'!Print_Area</vt:lpstr>
      <vt:lpstr>'GR22'!Print_Area</vt:lpstr>
      <vt:lpstr>'GR23'!Print_Area</vt:lpstr>
      <vt:lpstr>'GR24'!Print_Area</vt:lpstr>
      <vt:lpstr>'GR-3'!Print_Area</vt:lpstr>
      <vt:lpstr>'GR-4'!Print_Area</vt:lpstr>
      <vt:lpstr>'GR-5'!Print_Area</vt:lpstr>
      <vt:lpstr>'GR-6'!Print_Area</vt:lpstr>
      <vt:lpstr>'GR-7'!Print_Area</vt:lpstr>
      <vt:lpstr>'GR-8 '!Print_Area</vt:lpstr>
      <vt:lpstr>'GR9'!Print_Area</vt:lpstr>
      <vt:lpstr>'الزواج Marriage'!Print_Area</vt:lpstr>
      <vt:lpstr>'الطلاق Divorces'!Print_Area</vt:lpstr>
      <vt:lpstr>المؤشرات!Print_Area</vt:lpstr>
      <vt:lpstr>Cont.!Print_Titles</vt:lpstr>
      <vt:lpstr>ConT.GR!Print_Titles</vt:lpstr>
    </vt:vector>
  </TitlesOfParts>
  <Company>QSA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Vital Statistics Annual Bulletin Marriage and Divorce 2019</dc:title>
  <dc:creator>Amjad Ahmed Abdelwahab</dc:creator>
  <cp:lastModifiedBy>Amjad Ahmed Abdelwahab</cp:lastModifiedBy>
  <cp:lastPrinted>2021-09-29T08:08:30Z</cp:lastPrinted>
  <dcterms:created xsi:type="dcterms:W3CDTF">2012-07-10T06:20:22Z</dcterms:created>
  <dcterms:modified xsi:type="dcterms:W3CDTF">2021-09-30T07:05:52Z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0x0101005B6F1207514BA84095F136A74049D6F500F1F1E948EAA66A42B0F3AAD71C9FA928</vt:lpwstr>
  </property>
  <property fmtid="{D5CDD505-2E9C-101B-9397-08002B2CF9AE}" pid="4" name="CategoryDescription">
    <vt:lpwstr>Vital Statistics Annual Bulletin Marriage and Divorce 2019</vt:lpwstr>
  </property>
</Properties>
</file>